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C:\Users\KHaecki\Downloads\"/>
    </mc:Choice>
  </mc:AlternateContent>
  <workbookProtection workbookPassword="DD0F" lockStructure="1"/>
  <bookViews>
    <workbookView xWindow="14385" yWindow="-15" windowWidth="14430" windowHeight="13695"/>
  </bookViews>
  <sheets>
    <sheet name="Anleitung" sheetId="1" r:id="rId1"/>
    <sheet name="Fischzuchtanlage" sheetId="9" r:id="rId2"/>
    <sheet name="Grundlagen" sheetId="2" state="hidden" r:id="rId3"/>
    <sheet name="Gewaesserbelastung" sheetId="4" state="hidden" r:id="rId4"/>
    <sheet name="Kostenabschätzung" sheetId="10" state="hidden" r:id="rId5"/>
    <sheet name="Grundlagen Wirtschaftlichkeit" sheetId="5" state="hidden" r:id="rId6"/>
    <sheet name="Tierschutzverordnung" sheetId="6" state="hidden" r:id="rId7"/>
    <sheet name="Literatur" sheetId="3" r:id="rId8"/>
    <sheet name="Sprachen" sheetId="11" state="hidden" r:id="rId9"/>
  </sheets>
  <definedNames>
    <definedName name="Anlagetext">Grundlagen!$R$22:$AA$25</definedName>
    <definedName name="Anlagetyp">Grundlagen!$R$22:$R$24</definedName>
    <definedName name="Beurteilungstext">Gewaesserbelastung!$A$58:$I$61</definedName>
    <definedName name="DOC">Gewaesserbelastung!$L$8:$P$13</definedName>
    <definedName name="DOCNormal">Gewaesserbelastung!$L$19:$P$24</definedName>
    <definedName name="DOCVorbel">Gewaesserbelastung!$A$12:$A$13</definedName>
    <definedName name="_xlnm.Print_Area" localSheetId="1">Fischzuchtanlage!$D$1:$P$133</definedName>
    <definedName name="_xlnm.Print_Area" localSheetId="4">Kostenabschätzung!$B$2:$I$1048576</definedName>
    <definedName name="Entwässerung">Grundlagen!$R$77:$R$78</definedName>
    <definedName name="Entwässerungstext">Grundlagen!$R$77:$AB$78</definedName>
    <definedName name="EZSee">Grundlagen!$R$240:$R$242</definedName>
    <definedName name="Fisch">'Grundlagen Wirtschaftlichkeit'!$D$142:$D$145</definedName>
    <definedName name="GelP">Gewaesserbelastung!$L$52:$P$57</definedName>
    <definedName name="GesP">Gewaesserbelastung!$L$63:$P$68</definedName>
    <definedName name="kritisch">Gewaesserbelastung!$G$29</definedName>
    <definedName name="MatrixP">Grundlagen!$AV$125:$AX$125</definedName>
    <definedName name="MatrixWG">Grundlagen!$AV$121:$AX$123</definedName>
    <definedName name="NH4N">Gewaesserbelastung!$L$30:$P$35</definedName>
    <definedName name="nicht">Gewaesserbelastung!$G$30</definedName>
    <definedName name="NO3N">Gewaesserbelastung!$L$41:$P$46</definedName>
    <definedName name="P_See">Grundlagen!$R$240:$T$242</definedName>
    <definedName name="PhosphorF">Grundlagen!$R$146:$R$147</definedName>
    <definedName name="PhosphorFText">Grundlagen!$R$146:$AB$147</definedName>
    <definedName name="Preis">'Grundlagen Wirtschaftlichkeit'!$D$142:$S$145</definedName>
    <definedName name="QWasser">Gewaesserbelastung!$A$6:$A$7</definedName>
    <definedName name="Schlamm">Grundlagen!$R$105:$R$108</definedName>
    <definedName name="Schlammtext">Grundlagen!$R$105:$AB$108</definedName>
    <definedName name="Sprachen">Sprachen!$B$2:$B$3</definedName>
    <definedName name="StufeDOCGering">Gewaesserbelastung!$L$75</definedName>
    <definedName name="StufeDOCHoch">Gewaesserbelastung!$L$74</definedName>
    <definedName name="StufeNH4">Gewaesserbelastung!$L$76</definedName>
    <definedName name="StufeNO3">Gewaesserbelastung!$L$77</definedName>
    <definedName name="StufePGel">Gewaesserbelastung!$L$78</definedName>
    <definedName name="StufePges">Gewaesserbelastung!$L$79</definedName>
    <definedName name="Texte">Sprachen!$D$8:$F$202</definedName>
    <definedName name="tragbar">Gewaesserbelastung!$G$28</definedName>
    <definedName name="Vorbeh">Grundlagen!$R$140:$R$142</definedName>
    <definedName name="VorbehText">Grundlagen!$R$140:$AB$142</definedName>
    <definedName name="Z_2A376E74_9008_4CC4_AF78_5E9088D4FA1D_.wvu.Cols" localSheetId="1" hidden="1">Fischzuchtanlage!$B:$C,Fischzuchtanlage!$R:$XFD</definedName>
    <definedName name="Z_2A376E74_9008_4CC4_AF78_5E9088D4FA1D_.wvu.Cols" localSheetId="4" hidden="1">Kostenabschätzung!$K:$XFD</definedName>
    <definedName name="Z_2A376E74_9008_4CC4_AF78_5E9088D4FA1D_.wvu.PrintArea" localSheetId="1" hidden="1">Fischzuchtanlage!$D$1:$P$133</definedName>
    <definedName name="Z_2A376E74_9008_4CC4_AF78_5E9088D4FA1D_.wvu.PrintArea" localSheetId="4" hidden="1">Kostenabschätzung!$B$2:$I$1048576</definedName>
    <definedName name="Z_2A376E74_9008_4CC4_AF78_5E9088D4FA1D_.wvu.Rows" localSheetId="1" hidden="1">Fischzuchtanlage!$155:$1048576,Fischzuchtanlage!$134:$154</definedName>
    <definedName name="Z_2A376E74_9008_4CC4_AF78_5E9088D4FA1D_.wvu.Rows" localSheetId="4" hidden="1">Kostenabschätzung!$273:$1048576,Kostenabschätzung!$65:$272</definedName>
    <definedName name="Zuchtart">Grundlagen!$R$29:$R$30</definedName>
    <definedName name="Zuchttext">Grundlagen!$R$29:$S$30</definedName>
    <definedName name="Zusatzauflagen">Fischzuchtanlage!$F$138:$J$140</definedName>
  </definedNames>
  <calcPr calcId="162913" iterate="1"/>
  <customWorkbookViews>
    <customWorkbookView name="Ausgeblendet" guid="{2A376E74-9008-4CC4-AF78-5E9088D4FA1D}" maximized="1" windowWidth="1916" windowHeight="932" activeSheetId="9"/>
  </customWorkbookViews>
</workbook>
</file>

<file path=xl/calcChain.xml><?xml version="1.0" encoding="utf-8"?>
<calcChain xmlns="http://schemas.openxmlformats.org/spreadsheetml/2006/main">
  <c r="L12" i="9" l="1"/>
  <c r="J140" i="9" l="1"/>
  <c r="I140" i="9"/>
  <c r="H140" i="9"/>
  <c r="F140" i="9"/>
  <c r="J139" i="9"/>
  <c r="I139" i="9"/>
  <c r="H139" i="9"/>
  <c r="G139" i="9"/>
  <c r="F139" i="9"/>
  <c r="J138" i="9"/>
  <c r="I138" i="9"/>
  <c r="H138" i="9"/>
  <c r="G138" i="9"/>
  <c r="F138" i="9"/>
  <c r="F128" i="9"/>
  <c r="F127" i="9"/>
  <c r="F126" i="9"/>
  <c r="F125" i="9"/>
  <c r="F124" i="9"/>
  <c r="F123" i="9"/>
  <c r="F122" i="9"/>
  <c r="F121" i="9"/>
  <c r="F120" i="9"/>
  <c r="F117" i="9"/>
  <c r="F115" i="9"/>
  <c r="F108" i="9"/>
  <c r="B61" i="4"/>
  <c r="B60" i="4"/>
  <c r="B59" i="4"/>
  <c r="B58" i="4"/>
  <c r="B68" i="4"/>
  <c r="B67" i="4"/>
  <c r="B66" i="4"/>
  <c r="B65" i="4"/>
  <c r="B64" i="4" l="1"/>
  <c r="F100" i="9" l="1"/>
  <c r="F99" i="9"/>
  <c r="J96" i="9" l="1"/>
  <c r="I97" i="9"/>
  <c r="I96" i="9"/>
  <c r="F96" i="9"/>
  <c r="G30" i="4"/>
  <c r="G29" i="4"/>
  <c r="G28" i="4"/>
  <c r="N93" i="9"/>
  <c r="L86" i="9"/>
  <c r="J86" i="9"/>
  <c r="I86" i="9"/>
  <c r="H86" i="9"/>
  <c r="G86" i="9"/>
  <c r="AI131" i="2"/>
  <c r="AI130" i="2"/>
  <c r="AI129" i="2"/>
  <c r="AI128" i="2"/>
  <c r="AI127" i="2"/>
  <c r="AI126" i="2"/>
  <c r="AI125" i="2"/>
  <c r="AI124" i="2"/>
  <c r="AI123" i="2"/>
  <c r="J84" i="9"/>
  <c r="F84" i="9"/>
  <c r="S142" i="2"/>
  <c r="S141" i="2"/>
  <c r="S140" i="2"/>
  <c r="R142" i="2"/>
  <c r="R141" i="2"/>
  <c r="R140" i="2"/>
  <c r="S147" i="2"/>
  <c r="R147" i="2"/>
  <c r="S146" i="2"/>
  <c r="R146" i="2"/>
  <c r="F80" i="9"/>
  <c r="F79" i="9"/>
  <c r="F77" i="9"/>
  <c r="A54" i="4"/>
  <c r="A52" i="4"/>
  <c r="A51" i="4"/>
  <c r="A50" i="4"/>
  <c r="A49" i="4"/>
  <c r="A48" i="4"/>
  <c r="I46" i="4"/>
  <c r="H79" i="9" l="1"/>
  <c r="H80" i="9"/>
  <c r="F75" i="9"/>
  <c r="H73" i="9"/>
  <c r="H72" i="9"/>
  <c r="H71" i="9"/>
  <c r="S78" i="2"/>
  <c r="R78" i="2"/>
  <c r="S77" i="2"/>
  <c r="R77" i="2"/>
  <c r="F70" i="9"/>
  <c r="S108" i="2"/>
  <c r="S107" i="2"/>
  <c r="S106" i="2"/>
  <c r="R108" i="2"/>
  <c r="R107" i="2"/>
  <c r="R106" i="2"/>
  <c r="S105" i="2"/>
  <c r="R105" i="2"/>
  <c r="F69" i="9"/>
  <c r="F67" i="9"/>
  <c r="O68" i="4"/>
  <c r="O67" i="4"/>
  <c r="O66" i="4"/>
  <c r="O65" i="4"/>
  <c r="O64" i="4"/>
  <c r="O63" i="4"/>
  <c r="O57" i="4"/>
  <c r="O56" i="4"/>
  <c r="O55" i="4"/>
  <c r="O54" i="4"/>
  <c r="O53" i="4"/>
  <c r="O52" i="4"/>
  <c r="O46" i="4"/>
  <c r="O45" i="4"/>
  <c r="O44" i="4"/>
  <c r="O43" i="4"/>
  <c r="O42" i="4"/>
  <c r="O41" i="4"/>
  <c r="O35" i="4"/>
  <c r="O34" i="4"/>
  <c r="O33" i="4"/>
  <c r="O32" i="4"/>
  <c r="O31" i="4"/>
  <c r="O30" i="4"/>
  <c r="O24" i="4"/>
  <c r="O23" i="4"/>
  <c r="O22" i="4"/>
  <c r="O21" i="4"/>
  <c r="O20" i="4"/>
  <c r="O19" i="4"/>
  <c r="O13" i="4"/>
  <c r="O12" i="4"/>
  <c r="O11" i="4"/>
  <c r="O10" i="4"/>
  <c r="O9" i="4"/>
  <c r="O8" i="4"/>
  <c r="L61" i="9"/>
  <c r="F64" i="9"/>
  <c r="F63" i="9"/>
  <c r="F62" i="9"/>
  <c r="F61" i="9"/>
  <c r="F60" i="9"/>
  <c r="F59" i="9"/>
  <c r="A13" i="4"/>
  <c r="A12" i="4"/>
  <c r="L59" i="9" s="1"/>
  <c r="L58" i="9"/>
  <c r="J58" i="9"/>
  <c r="F57" i="9"/>
  <c r="J54" i="9"/>
  <c r="A7" i="4"/>
  <c r="A6" i="4"/>
  <c r="J53" i="9" s="1"/>
  <c r="F53" i="9"/>
  <c r="F52" i="9"/>
  <c r="F51" i="9"/>
  <c r="F49" i="9"/>
  <c r="M46" i="9"/>
  <c r="M45" i="9"/>
  <c r="M44" i="9"/>
  <c r="L43" i="9"/>
  <c r="F44" i="9"/>
  <c r="I42" i="9"/>
  <c r="L41" i="9"/>
  <c r="F42" i="9"/>
  <c r="I41" i="9"/>
  <c r="F41" i="9"/>
  <c r="F40" i="9"/>
  <c r="M39" i="9"/>
  <c r="F39" i="9"/>
  <c r="F38" i="9"/>
  <c r="F35" i="9"/>
  <c r="F33" i="9"/>
  <c r="M32" i="9"/>
  <c r="F32" i="9"/>
  <c r="I32" i="9"/>
  <c r="L31" i="9"/>
  <c r="F31" i="9"/>
  <c r="F30" i="9"/>
  <c r="L27" i="9"/>
  <c r="I26" i="9"/>
  <c r="F28" i="9"/>
  <c r="F27" i="9"/>
  <c r="F26" i="9"/>
  <c r="F25" i="9"/>
  <c r="F23" i="9"/>
  <c r="S30" i="2"/>
  <c r="S29" i="2"/>
  <c r="R30" i="2"/>
  <c r="R29" i="2"/>
  <c r="F19" i="9"/>
  <c r="U23" i="2"/>
  <c r="U22" i="2"/>
  <c r="S24" i="2"/>
  <c r="S23" i="2"/>
  <c r="S22" i="2"/>
  <c r="R24" i="2"/>
  <c r="R23" i="2"/>
  <c r="R22" i="2"/>
  <c r="F18" i="9"/>
  <c r="H70" i="9" l="1"/>
  <c r="G19" i="9"/>
  <c r="G18" i="9"/>
  <c r="H69" i="9"/>
  <c r="F16" i="9"/>
  <c r="G13" i="9"/>
  <c r="G12" i="9"/>
  <c r="R242" i="2"/>
  <c r="R241" i="2"/>
  <c r="R240" i="2"/>
  <c r="G11" i="9" s="1"/>
  <c r="M11" i="9"/>
  <c r="M10" i="9"/>
  <c r="M9" i="9"/>
  <c r="M8" i="9"/>
  <c r="M7" i="9"/>
  <c r="M6" i="9"/>
  <c r="L5" i="9"/>
  <c r="F11" i="9"/>
  <c r="F10" i="9"/>
  <c r="H9" i="9"/>
  <c r="F9" i="9"/>
  <c r="H8" i="9"/>
  <c r="F8" i="9"/>
  <c r="F7" i="9"/>
  <c r="F6" i="9"/>
  <c r="F4" i="9"/>
  <c r="G2" i="9" l="1"/>
  <c r="C25" i="9" l="1"/>
  <c r="O191" i="5" l="1"/>
  <c r="O192" i="5"/>
  <c r="O193" i="5"/>
  <c r="O194" i="5"/>
  <c r="O195" i="5"/>
  <c r="O190" i="5"/>
  <c r="D190" i="5" l="1"/>
  <c r="E190" i="5" s="1"/>
  <c r="D195" i="5"/>
  <c r="E195" i="5" s="1"/>
  <c r="D194" i="5"/>
  <c r="E194" i="5" s="1"/>
  <c r="D193" i="5"/>
  <c r="E193" i="5" s="1"/>
  <c r="D192" i="5"/>
  <c r="E192" i="5" s="1"/>
  <c r="D191" i="5"/>
  <c r="E191" i="5" s="1"/>
  <c r="X64" i="5"/>
  <c r="X62" i="5"/>
  <c r="X73" i="5" s="1"/>
  <c r="X39" i="5"/>
  <c r="X38" i="5"/>
  <c r="X32" i="5"/>
  <c r="X74" i="5" s="1"/>
  <c r="X33" i="5"/>
  <c r="X41" i="5" s="1"/>
  <c r="X34" i="5"/>
  <c r="X31" i="5"/>
  <c r="W40" i="5" s="1"/>
  <c r="X48" i="5"/>
  <c r="X52" i="5"/>
  <c r="X53" i="5"/>
  <c r="X54" i="5"/>
  <c r="X55" i="5"/>
  <c r="X56" i="5"/>
  <c r="X57" i="5"/>
  <c r="X58" i="5"/>
  <c r="X59" i="5"/>
  <c r="X51" i="5"/>
  <c r="V51" i="5"/>
  <c r="X47" i="5"/>
  <c r="X46" i="5"/>
  <c r="X45" i="5"/>
  <c r="X71" i="5" s="1"/>
  <c r="X44" i="5"/>
  <c r="U145" i="5"/>
  <c r="X49" i="5" l="1"/>
  <c r="X60" i="5"/>
  <c r="X72" i="5"/>
  <c r="X75" i="5"/>
  <c r="X77" i="5" s="1"/>
  <c r="E56" i="10"/>
  <c r="H19" i="10" l="1"/>
  <c r="H15" i="10"/>
  <c r="H16" i="10"/>
  <c r="H17" i="10"/>
  <c r="H18" i="10"/>
  <c r="D9" i="10"/>
  <c r="F94" i="9" l="1"/>
  <c r="F93" i="9"/>
  <c r="F92" i="9"/>
  <c r="F91" i="9"/>
  <c r="F90" i="9"/>
  <c r="F89" i="9"/>
  <c r="F88" i="9"/>
  <c r="F87" i="9"/>
  <c r="C11" i="9" l="1"/>
  <c r="AN9" i="2" l="1"/>
  <c r="J12" i="9"/>
  <c r="C101" i="9" s="1"/>
  <c r="N55" i="4" l="1"/>
  <c r="N54" i="4"/>
  <c r="N53" i="4"/>
  <c r="C31" i="9" l="1"/>
  <c r="L46" i="9"/>
  <c r="H14" i="10" l="1"/>
  <c r="H37" i="10"/>
  <c r="I128" i="9" l="1"/>
  <c r="D10" i="10" l="1"/>
  <c r="F132" i="9" l="1"/>
  <c r="F130" i="9"/>
  <c r="D8" i="10" l="1"/>
  <c r="H44" i="10"/>
  <c r="H43" i="10"/>
  <c r="D42" i="10"/>
  <c r="H42" i="10" s="1"/>
  <c r="H38" i="10"/>
  <c r="H36" i="10"/>
  <c r="H35" i="10"/>
  <c r="H34" i="10"/>
  <c r="H33" i="10"/>
  <c r="H32" i="10"/>
  <c r="H31" i="10"/>
  <c r="H27" i="10"/>
  <c r="D27" i="10"/>
  <c r="H26" i="10"/>
  <c r="D26" i="10"/>
  <c r="H25" i="10"/>
  <c r="D25" i="10"/>
  <c r="H24" i="10"/>
  <c r="D24" i="10"/>
  <c r="E9" i="10" l="1"/>
  <c r="E10" i="10"/>
  <c r="G45" i="10"/>
  <c r="E8" i="10"/>
  <c r="N34" i="5"/>
  <c r="Q64" i="5"/>
  <c r="Q58" i="5"/>
  <c r="H138" i="5"/>
  <c r="H135" i="5"/>
  <c r="H136" i="5" s="1"/>
  <c r="H134" i="5"/>
  <c r="G138" i="5"/>
  <c r="G135" i="5"/>
  <c r="G136" i="5" s="1"/>
  <c r="G134" i="5"/>
  <c r="E138" i="5"/>
  <c r="E135" i="5"/>
  <c r="E136" i="5" s="1"/>
  <c r="E134" i="5"/>
  <c r="P145" i="5"/>
  <c r="L145" i="5"/>
  <c r="L143" i="5"/>
  <c r="M143" i="5" s="1"/>
  <c r="L142" i="5"/>
  <c r="M142" i="5" s="1"/>
  <c r="S63" i="5"/>
  <c r="S34" i="5"/>
  <c r="S64" i="5"/>
  <c r="S62" i="5"/>
  <c r="S59" i="5"/>
  <c r="S58" i="5"/>
  <c r="S57" i="5"/>
  <c r="S56" i="5"/>
  <c r="S55" i="5"/>
  <c r="S54" i="5"/>
  <c r="S53" i="5"/>
  <c r="S52" i="5"/>
  <c r="S51" i="5"/>
  <c r="S47" i="5"/>
  <c r="S46" i="5"/>
  <c r="S71" i="5" s="1"/>
  <c r="S45" i="5"/>
  <c r="S44" i="5"/>
  <c r="S49" i="5" s="1"/>
  <c r="S39" i="5"/>
  <c r="S38" i="5"/>
  <c r="S41" i="5" s="1"/>
  <c r="S33" i="5"/>
  <c r="S32" i="5"/>
  <c r="S31" i="5"/>
  <c r="S60" i="5" l="1"/>
  <c r="S73" i="5"/>
  <c r="S72" i="5"/>
  <c r="S74" i="5"/>
  <c r="R40" i="5"/>
  <c r="H137" i="5" s="1"/>
  <c r="N39" i="5"/>
  <c r="N38" i="5"/>
  <c r="N33" i="5"/>
  <c r="N32" i="5"/>
  <c r="N31" i="5"/>
  <c r="N52" i="5"/>
  <c r="N53" i="5"/>
  <c r="N54" i="5"/>
  <c r="N55" i="5"/>
  <c r="N56" i="5"/>
  <c r="N57" i="5"/>
  <c r="N58" i="5"/>
  <c r="N59" i="5"/>
  <c r="N51" i="5"/>
  <c r="N45" i="5"/>
  <c r="N71" i="5" s="1"/>
  <c r="N46" i="5"/>
  <c r="N47" i="5"/>
  <c r="N44" i="5"/>
  <c r="N64" i="5"/>
  <c r="N62" i="5"/>
  <c r="N72" i="5" l="1"/>
  <c r="N73" i="5"/>
  <c r="S75" i="5"/>
  <c r="S77" i="5" s="1"/>
  <c r="M40" i="5"/>
  <c r="G137" i="5" s="1"/>
  <c r="N74" i="5"/>
  <c r="J42" i="9"/>
  <c r="N75" i="5" l="1"/>
  <c r="N77" i="5" s="1"/>
  <c r="F47" i="4"/>
  <c r="AO21" i="2" l="1"/>
  <c r="AJ121" i="2" s="1"/>
  <c r="AU125" i="2"/>
  <c r="C79" i="9"/>
  <c r="J79" i="9"/>
  <c r="AN21" i="2" l="1"/>
  <c r="C8" i="9"/>
  <c r="C9" i="9"/>
  <c r="C23" i="4" l="1"/>
  <c r="L79" i="4"/>
  <c r="L77" i="4"/>
  <c r="D50" i="4" l="1"/>
  <c r="C50" i="4"/>
  <c r="D52" i="4"/>
  <c r="C52" i="4"/>
  <c r="E23" i="4"/>
  <c r="J63" i="9" s="1"/>
  <c r="C53" i="9"/>
  <c r="C52" i="9"/>
  <c r="C51" i="9"/>
  <c r="C28" i="9"/>
  <c r="C27" i="9"/>
  <c r="C41" i="9"/>
  <c r="C39" i="9"/>
  <c r="C10" i="9"/>
  <c r="C7" i="9"/>
  <c r="C6" i="9"/>
  <c r="F50" i="4" l="1"/>
  <c r="C12" i="9"/>
  <c r="F52" i="4"/>
  <c r="C55" i="9"/>
  <c r="F86" i="9"/>
  <c r="AU122" i="2"/>
  <c r="AU123" i="2"/>
  <c r="AU121" i="2"/>
  <c r="AM103" i="2" l="1"/>
  <c r="AX120" i="2" s="1"/>
  <c r="AR103" i="2"/>
  <c r="AW120" i="2" s="1"/>
  <c r="AK103" i="2"/>
  <c r="AV120" i="2" s="1"/>
  <c r="AO16" i="2"/>
  <c r="AJ119" i="2" s="1"/>
  <c r="AO20" i="2"/>
  <c r="AJ120" i="2" s="1"/>
  <c r="C80" i="9"/>
  <c r="BD68" i="2"/>
  <c r="BD70" i="2"/>
  <c r="BD69" i="2"/>
  <c r="BD71" i="2"/>
  <c r="J80" i="9"/>
  <c r="J69" i="9"/>
  <c r="AK127" i="2" l="1"/>
  <c r="AW129" i="2"/>
  <c r="AK131" i="2"/>
  <c r="AK130" i="2"/>
  <c r="AK129" i="2"/>
  <c r="AK126" i="2"/>
  <c r="AK125" i="2"/>
  <c r="AK124" i="2"/>
  <c r="AK128" i="2"/>
  <c r="AW130" i="2"/>
  <c r="AN20" i="2"/>
  <c r="AX93" i="2"/>
  <c r="AU93" i="2"/>
  <c r="AJ128" i="2" l="1"/>
  <c r="AJ127" i="2"/>
  <c r="AL123" i="2"/>
  <c r="AL127" i="2" s="1"/>
  <c r="AS46" i="2"/>
  <c r="AS45" i="2"/>
  <c r="AL128" i="2" l="1"/>
  <c r="AL129" i="2"/>
  <c r="AL126" i="2"/>
  <c r="AL124" i="2"/>
  <c r="AL125" i="2"/>
  <c r="AL131" i="2"/>
  <c r="AL130" i="2"/>
  <c r="AY10" i="2"/>
  <c r="AU11" i="2"/>
  <c r="AU12" i="2"/>
  <c r="AU13" i="2"/>
  <c r="AU10" i="2"/>
  <c r="AU7" i="2"/>
  <c r="AN14" i="2"/>
  <c r="AK102" i="2" s="1"/>
  <c r="AN13" i="2"/>
  <c r="AN12" i="2"/>
  <c r="AN8" i="2"/>
  <c r="U11" i="2" s="1"/>
  <c r="AN7" i="2"/>
  <c r="U13" i="2" l="1"/>
  <c r="Z43" i="2"/>
  <c r="AN11" i="2"/>
  <c r="T6" i="2"/>
  <c r="U12" i="2" s="1"/>
  <c r="N43" i="4"/>
  <c r="N44" i="4"/>
  <c r="N42" i="4"/>
  <c r="D19" i="4"/>
  <c r="C20" i="4"/>
  <c r="C21" i="4"/>
  <c r="C22" i="4"/>
  <c r="C19" i="4"/>
  <c r="C69" i="9"/>
  <c r="C71" i="9" s="1"/>
  <c r="L39" i="9"/>
  <c r="C70" i="9" l="1"/>
  <c r="AN17" i="2"/>
  <c r="AT26" i="2" s="1"/>
  <c r="AV35" i="2" s="1"/>
  <c r="E22" i="4"/>
  <c r="J62" i="9" s="1"/>
  <c r="E21" i="4"/>
  <c r="AZ12" i="2" s="1"/>
  <c r="E20" i="4"/>
  <c r="AZ11" i="2" s="1"/>
  <c r="E19" i="4"/>
  <c r="J59" i="9" s="1"/>
  <c r="I20" i="9"/>
  <c r="C18" i="9"/>
  <c r="A65" i="4" l="1"/>
  <c r="A69" i="4" s="1"/>
  <c r="A67" i="4"/>
  <c r="A64" i="4"/>
  <c r="A66" i="4"/>
  <c r="E7" i="10"/>
  <c r="E11" i="10" s="1"/>
  <c r="J60" i="9"/>
  <c r="J61" i="9"/>
  <c r="AZ13" i="2"/>
  <c r="AN16" i="2"/>
  <c r="AZ10" i="2"/>
  <c r="T45" i="2"/>
  <c r="J70" i="9"/>
  <c r="I19" i="9"/>
  <c r="I18" i="9"/>
  <c r="C37" i="10" l="1"/>
  <c r="C35" i="10"/>
  <c r="E35" i="10" s="1"/>
  <c r="C27" i="10"/>
  <c r="C24" i="10" s="1"/>
  <c r="C42" i="10"/>
  <c r="G42" i="10" s="1"/>
  <c r="I42" i="10" s="1"/>
  <c r="A70" i="4"/>
  <c r="C110" i="9" s="1"/>
  <c r="C16" i="10"/>
  <c r="G16" i="10" s="1"/>
  <c r="I16" i="10" s="1"/>
  <c r="C43" i="10"/>
  <c r="G43" i="10" s="1"/>
  <c r="I43" i="10" s="1"/>
  <c r="C33" i="10"/>
  <c r="G33" i="10" s="1"/>
  <c r="I33" i="10" s="1"/>
  <c r="C36" i="10"/>
  <c r="G36" i="10" s="1"/>
  <c r="I36" i="10" s="1"/>
  <c r="C17" i="10"/>
  <c r="E17" i="10" s="1"/>
  <c r="E45" i="10"/>
  <c r="C18" i="10"/>
  <c r="G18" i="10" s="1"/>
  <c r="I18" i="10" s="1"/>
  <c r="I45" i="10"/>
  <c r="C19" i="10"/>
  <c r="E19" i="10" s="1"/>
  <c r="C14" i="10"/>
  <c r="E14" i="10" s="1"/>
  <c r="C15" i="10"/>
  <c r="G15" i="10" s="1"/>
  <c r="I15" i="10" s="1"/>
  <c r="C31" i="10"/>
  <c r="E31" i="10" s="1"/>
  <c r="C34" i="10"/>
  <c r="G34" i="10" s="1"/>
  <c r="I34" i="10" s="1"/>
  <c r="C32" i="10"/>
  <c r="E32" i="10" s="1"/>
  <c r="C44" i="10"/>
  <c r="G44" i="10" s="1"/>
  <c r="I44" i="10" s="1"/>
  <c r="L32" i="9"/>
  <c r="J32" i="9" l="1"/>
  <c r="C34" i="9" s="1"/>
  <c r="E42" i="10"/>
  <c r="E37" i="10"/>
  <c r="G37" i="10"/>
  <c r="I37" i="10" s="1"/>
  <c r="E43" i="10"/>
  <c r="E33" i="10"/>
  <c r="E16" i="10"/>
  <c r="C26" i="10"/>
  <c r="G26" i="10" s="1"/>
  <c r="I26" i="10" s="1"/>
  <c r="C25" i="10"/>
  <c r="E25" i="10" s="1"/>
  <c r="G17" i="10"/>
  <c r="I17" i="10" s="1"/>
  <c r="G14" i="10"/>
  <c r="I14" i="10" s="1"/>
  <c r="E18" i="10"/>
  <c r="E15" i="10"/>
  <c r="E36" i="10"/>
  <c r="G31" i="10"/>
  <c r="I31" i="10" s="1"/>
  <c r="G27" i="10"/>
  <c r="I27" i="10" s="1"/>
  <c r="G32" i="10"/>
  <c r="I32" i="10" s="1"/>
  <c r="G35" i="10"/>
  <c r="I35" i="10" s="1"/>
  <c r="G19" i="10"/>
  <c r="I19" i="10" s="1"/>
  <c r="E27" i="10"/>
  <c r="E34" i="10"/>
  <c r="E44" i="10"/>
  <c r="I46" i="10"/>
  <c r="G51" i="10" s="1"/>
  <c r="G24" i="10"/>
  <c r="I24" i="10" s="1"/>
  <c r="E24" i="10"/>
  <c r="N29" i="2"/>
  <c r="O29" i="2"/>
  <c r="I50" i="2"/>
  <c r="L50" i="2" s="1"/>
  <c r="I49" i="2"/>
  <c r="L49" i="2" s="1"/>
  <c r="I48" i="2"/>
  <c r="M48" i="2" s="1"/>
  <c r="M22" i="2"/>
  <c r="M23" i="2"/>
  <c r="M24" i="2"/>
  <c r="M25" i="2"/>
  <c r="M28" i="2"/>
  <c r="M21" i="2"/>
  <c r="C66" i="2"/>
  <c r="C84" i="2"/>
  <c r="C91" i="2" s="1"/>
  <c r="C82" i="2"/>
  <c r="C83" i="2" s="1"/>
  <c r="C81" i="2"/>
  <c r="C89" i="2" s="1"/>
  <c r="AN10" i="2" l="1"/>
  <c r="C32" i="9"/>
  <c r="E46" i="10"/>
  <c r="C51" i="10" s="1"/>
  <c r="E26" i="10"/>
  <c r="E28" i="10" s="1"/>
  <c r="C49" i="10" s="1"/>
  <c r="G25" i="10"/>
  <c r="I25" i="10" s="1"/>
  <c r="I28" i="10" s="1"/>
  <c r="C28" i="10"/>
  <c r="E20" i="10"/>
  <c r="D52" i="10" s="1"/>
  <c r="C52" i="10" s="1"/>
  <c r="I20" i="10"/>
  <c r="H52" i="10" s="1"/>
  <c r="G52" i="10" s="1"/>
  <c r="M50" i="2"/>
  <c r="J48" i="2"/>
  <c r="M49" i="2"/>
  <c r="C90" i="2"/>
  <c r="T46" i="2"/>
  <c r="U51" i="2" s="1"/>
  <c r="AA51" i="2" s="1"/>
  <c r="L48" i="2"/>
  <c r="K50" i="2"/>
  <c r="K49" i="2"/>
  <c r="T51" i="2"/>
  <c r="Z51" i="2" s="1"/>
  <c r="K48" i="2"/>
  <c r="J50" i="2"/>
  <c r="J49" i="2"/>
  <c r="T53" i="2"/>
  <c r="Z53" i="2" s="1"/>
  <c r="AK34" i="2" s="1"/>
  <c r="M29" i="2"/>
  <c r="T50" i="2"/>
  <c r="Z50" i="2" s="1"/>
  <c r="AK31" i="2" s="1"/>
  <c r="AV78" i="2" s="1"/>
  <c r="AX78" i="2" s="1"/>
  <c r="C43" i="9" l="1"/>
  <c r="C104" i="9" s="1"/>
  <c r="U45" i="2"/>
  <c r="W51" i="2" s="1"/>
  <c r="W52" i="2" s="1"/>
  <c r="AN111" i="2"/>
  <c r="AN109" i="2"/>
  <c r="AN108" i="2"/>
  <c r="AN105" i="2"/>
  <c r="AM111" i="2"/>
  <c r="AM109" i="2"/>
  <c r="AM108" i="2"/>
  <c r="AM105" i="2"/>
  <c r="C38" i="10"/>
  <c r="E38" i="10" s="1"/>
  <c r="E39" i="10" s="1"/>
  <c r="C50" i="10" s="1"/>
  <c r="C53" i="10" s="1"/>
  <c r="C54" i="10" s="1"/>
  <c r="AV82" i="2"/>
  <c r="G49" i="10"/>
  <c r="BD80" i="2"/>
  <c r="AK80" i="2"/>
  <c r="BD77" i="2"/>
  <c r="AK77" i="2"/>
  <c r="AL32" i="2"/>
  <c r="AW91" i="2" s="1"/>
  <c r="Z52" i="2"/>
  <c r="AK33" i="2" s="1"/>
  <c r="AK79" i="2" s="1"/>
  <c r="AK32" i="2"/>
  <c r="T52" i="2"/>
  <c r="U50" i="2"/>
  <c r="AA50" i="2" s="1"/>
  <c r="AL31" i="2" s="1"/>
  <c r="BD94" i="2" s="1"/>
  <c r="U54" i="2"/>
  <c r="AA54" i="2" s="1"/>
  <c r="AL35" i="2" s="1"/>
  <c r="U53" i="2"/>
  <c r="AA53" i="2" s="1"/>
  <c r="AL34" i="2" s="1"/>
  <c r="AV91" i="2" s="1"/>
  <c r="AC51" i="2" l="1"/>
  <c r="AN32" i="2" s="1"/>
  <c r="AY79" i="2" s="1"/>
  <c r="AY80" i="2" s="1"/>
  <c r="U46" i="2"/>
  <c r="X54" i="2" s="1"/>
  <c r="AD54" i="2" s="1"/>
  <c r="AO35" i="2" s="1"/>
  <c r="AO38" i="2" s="1"/>
  <c r="AO39" i="2" s="1"/>
  <c r="W50" i="2"/>
  <c r="AC50" i="2" s="1"/>
  <c r="AN31" i="2" s="1"/>
  <c r="AY78" i="2" s="1"/>
  <c r="BA78" i="2" s="1"/>
  <c r="W53" i="2"/>
  <c r="AC53" i="2" s="1"/>
  <c r="AN34" i="2" s="1"/>
  <c r="BG80" i="2" s="1"/>
  <c r="G38" i="10"/>
  <c r="I38" i="10" s="1"/>
  <c r="I39" i="10" s="1"/>
  <c r="G50" i="10" s="1"/>
  <c r="G53" i="10" s="1"/>
  <c r="G54" i="10" s="1"/>
  <c r="AU94" i="2"/>
  <c r="AV94" i="2"/>
  <c r="BF94" i="2"/>
  <c r="AW94" i="2"/>
  <c r="BA48" i="2"/>
  <c r="BF92" i="2" s="1"/>
  <c r="AZ48" i="2"/>
  <c r="BE78" i="2" s="1"/>
  <c r="AZ50" i="2"/>
  <c r="BE80" i="2" s="1"/>
  <c r="BE90" i="2" s="1"/>
  <c r="BA50" i="2"/>
  <c r="BE92" i="2" s="1"/>
  <c r="BA47" i="2"/>
  <c r="BD92" i="2" s="1"/>
  <c r="AZ47" i="2"/>
  <c r="BE77" i="2" s="1"/>
  <c r="BF77" i="2" s="1"/>
  <c r="AR105" i="2" s="1"/>
  <c r="BE94" i="2"/>
  <c r="AT51" i="2"/>
  <c r="AW92" i="2" s="1"/>
  <c r="AS51" i="2"/>
  <c r="AW79" i="2" s="1"/>
  <c r="AW80" i="2" s="1"/>
  <c r="AS50" i="2"/>
  <c r="AW82" i="2" s="1"/>
  <c r="AX82" i="2" s="1"/>
  <c r="AT50" i="2"/>
  <c r="AV92" i="2" s="1"/>
  <c r="BD78" i="2"/>
  <c r="AK78" i="2"/>
  <c r="AV79" i="2"/>
  <c r="AM94" i="2"/>
  <c r="AL94" i="2"/>
  <c r="AL38" i="2"/>
  <c r="AL39" i="2" s="1"/>
  <c r="AK82" i="2"/>
  <c r="AL82" i="2" s="1"/>
  <c r="AK94" i="2"/>
  <c r="G64" i="5"/>
  <c r="I64" i="5" s="1"/>
  <c r="I63" i="5"/>
  <c r="I62" i="5"/>
  <c r="I56" i="5"/>
  <c r="I55" i="5"/>
  <c r="I54" i="5"/>
  <c r="I53" i="5"/>
  <c r="I52" i="5"/>
  <c r="I51" i="5"/>
  <c r="I45" i="5"/>
  <c r="I46" i="5"/>
  <c r="I47" i="5"/>
  <c r="I44" i="5"/>
  <c r="I39" i="5"/>
  <c r="I38" i="5"/>
  <c r="I32" i="5"/>
  <c r="I33" i="5"/>
  <c r="I34" i="5"/>
  <c r="I31" i="5"/>
  <c r="E39" i="5"/>
  <c r="E38" i="5"/>
  <c r="E32" i="5"/>
  <c r="E33" i="5"/>
  <c r="E34" i="5"/>
  <c r="E35" i="5"/>
  <c r="E31" i="5"/>
  <c r="E68" i="5"/>
  <c r="E67" i="5"/>
  <c r="E73" i="5" s="1"/>
  <c r="E66" i="5"/>
  <c r="E64" i="5"/>
  <c r="E63" i="5"/>
  <c r="E62" i="5"/>
  <c r="E56" i="5"/>
  <c r="E55" i="5"/>
  <c r="E54" i="5"/>
  <c r="E53" i="5"/>
  <c r="E52" i="5"/>
  <c r="E51" i="5"/>
  <c r="E47" i="5"/>
  <c r="E46" i="5"/>
  <c r="E45" i="5"/>
  <c r="E44" i="5"/>
  <c r="E72" i="5" l="1"/>
  <c r="E71" i="5"/>
  <c r="BG78" i="2"/>
  <c r="AN78" i="2"/>
  <c r="AC52" i="2"/>
  <c r="AN33" i="2" s="1"/>
  <c r="AN79" i="2" s="1"/>
  <c r="X51" i="2"/>
  <c r="AD51" i="2" s="1"/>
  <c r="AO32" i="2" s="1"/>
  <c r="AZ91" i="2" s="1"/>
  <c r="AN77" i="2"/>
  <c r="X50" i="2"/>
  <c r="AD50" i="2" s="1"/>
  <c r="AO31" i="2" s="1"/>
  <c r="BC47" i="2" s="1"/>
  <c r="BH77" i="2" s="1"/>
  <c r="BG77" i="2"/>
  <c r="AN80" i="2"/>
  <c r="AN82" i="2"/>
  <c r="X53" i="2"/>
  <c r="AD53" i="2" s="1"/>
  <c r="AO34" i="2" s="1"/>
  <c r="AO94" i="2" s="1"/>
  <c r="AY82" i="2"/>
  <c r="E74" i="5"/>
  <c r="E75" i="5" s="1"/>
  <c r="E77" i="5" s="1"/>
  <c r="D40" i="5"/>
  <c r="I71" i="5"/>
  <c r="I74" i="5"/>
  <c r="I73" i="5"/>
  <c r="I72" i="5"/>
  <c r="AV90" i="2"/>
  <c r="AV93" i="2" s="1"/>
  <c r="AM110" i="2"/>
  <c r="BD90" i="2"/>
  <c r="BD93" i="2" s="1"/>
  <c r="BF90" i="2"/>
  <c r="BF93" i="2" s="1"/>
  <c r="BF78" i="2"/>
  <c r="AR106" i="2" s="1"/>
  <c r="AM91" i="2"/>
  <c r="AK114" i="2" s="1"/>
  <c r="AK91" i="2"/>
  <c r="AK112" i="2" s="1"/>
  <c r="AL91" i="2"/>
  <c r="AM82" i="2"/>
  <c r="AX79" i="2"/>
  <c r="AW90" i="2" s="1"/>
  <c r="AW93" i="2" s="1"/>
  <c r="AV80" i="2"/>
  <c r="AX80" i="2" s="1"/>
  <c r="AM106" i="2" s="1"/>
  <c r="AM107" i="2" s="1"/>
  <c r="H40" i="5"/>
  <c r="E137" i="5" s="1"/>
  <c r="L78" i="4"/>
  <c r="L76" i="4"/>
  <c r="L75" i="4"/>
  <c r="L74" i="4"/>
  <c r="C145" i="2"/>
  <c r="C144" i="2"/>
  <c r="C143" i="2"/>
  <c r="AZ94" i="2" l="1"/>
  <c r="BD48" i="2"/>
  <c r="AP91" i="2"/>
  <c r="AL114" i="2" s="1"/>
  <c r="AW51" i="2"/>
  <c r="AZ92" i="2" s="1"/>
  <c r="BC48" i="2"/>
  <c r="BH78" i="2" s="1"/>
  <c r="BI78" i="2" s="1"/>
  <c r="AS106" i="2" s="1"/>
  <c r="AS107" i="2" s="1"/>
  <c r="AV51" i="2"/>
  <c r="AZ79" i="2" s="1"/>
  <c r="AZ80" i="2" s="1"/>
  <c r="BA80" i="2" s="1"/>
  <c r="AN106" i="2" s="1"/>
  <c r="AN107" i="2" s="1"/>
  <c r="AP94" i="2"/>
  <c r="AX94" i="2"/>
  <c r="AY91" i="2"/>
  <c r="AN94" i="2"/>
  <c r="BI77" i="2"/>
  <c r="AS105" i="2" s="1"/>
  <c r="BD47" i="2"/>
  <c r="AN91" i="2"/>
  <c r="AL112" i="2" s="1"/>
  <c r="AO82" i="2"/>
  <c r="AR82" i="2" s="1"/>
  <c r="AL111" i="2" s="1"/>
  <c r="AN130" i="2" s="1"/>
  <c r="AP130" i="2" s="1"/>
  <c r="AO91" i="2"/>
  <c r="BC50" i="2"/>
  <c r="BH80" i="2" s="1"/>
  <c r="BI80" i="2" s="1"/>
  <c r="AS110" i="2" s="1"/>
  <c r="BD50" i="2"/>
  <c r="AV50" i="2"/>
  <c r="AZ82" i="2" s="1"/>
  <c r="BA82" i="2" s="1"/>
  <c r="AN110" i="2" s="1"/>
  <c r="AY94" i="2"/>
  <c r="AW50" i="2"/>
  <c r="AY92" i="2" s="1"/>
  <c r="D48" i="4"/>
  <c r="C48" i="4"/>
  <c r="D49" i="4"/>
  <c r="C49" i="4"/>
  <c r="D51" i="4"/>
  <c r="C51" i="4"/>
  <c r="I75" i="5"/>
  <c r="I77" i="5" s="1"/>
  <c r="AR107" i="2"/>
  <c r="BF80" i="2"/>
  <c r="AK111" i="2"/>
  <c r="AM130" i="2" s="1"/>
  <c r="F49" i="4" l="1"/>
  <c r="F51" i="4"/>
  <c r="BA79" i="2"/>
  <c r="AZ90" i="2" s="1"/>
  <c r="AZ93" i="2" s="1"/>
  <c r="AY90" i="2"/>
  <c r="AY93" i="2" s="1"/>
  <c r="AS130" i="2"/>
  <c r="G93" i="9" s="1"/>
  <c r="L93" i="9" s="1"/>
  <c r="AO130" i="2"/>
  <c r="F48" i="4"/>
  <c r="BE93" i="2"/>
  <c r="AR110" i="2"/>
  <c r="G54" i="4" l="1"/>
  <c r="AR130" i="2"/>
  <c r="C93" i="9" s="1"/>
  <c r="AN18" i="2"/>
  <c r="BA26" i="2" s="1"/>
  <c r="BB32" i="2" l="1"/>
  <c r="BB34" i="2"/>
  <c r="BB31" i="2"/>
  <c r="AN50" i="2" l="1"/>
  <c r="AK50" i="2"/>
  <c r="AN47" i="2"/>
  <c r="AK47" i="2"/>
  <c r="AN48" i="2"/>
  <c r="AK48" i="2"/>
  <c r="AL80" i="2" l="1"/>
  <c r="AL50" i="2"/>
  <c r="AL92" i="2" s="1"/>
  <c r="AO48" i="2"/>
  <c r="AP92" i="2" s="1"/>
  <c r="AO78" i="2"/>
  <c r="AR78" i="2" s="1"/>
  <c r="AN49" i="2"/>
  <c r="AO79" i="2" s="1"/>
  <c r="AR79" i="2" s="1"/>
  <c r="AL109" i="2" s="1"/>
  <c r="AN124" i="2" s="1"/>
  <c r="AL77" i="2"/>
  <c r="AM77" i="2" s="1"/>
  <c r="AL47" i="2"/>
  <c r="AK92" i="2" s="1"/>
  <c r="AO77" i="2"/>
  <c r="AR77" i="2" s="1"/>
  <c r="AO47" i="2"/>
  <c r="AN92" i="2" s="1"/>
  <c r="AL48" i="2"/>
  <c r="AM92" i="2" s="1"/>
  <c r="AL78" i="2"/>
  <c r="AM78" i="2" s="1"/>
  <c r="AK49" i="2"/>
  <c r="AL79" i="2" s="1"/>
  <c r="AM79" i="2" s="1"/>
  <c r="AK109" i="2" s="1"/>
  <c r="AM124" i="2" s="1"/>
  <c r="AO80" i="2"/>
  <c r="AO50" i="2"/>
  <c r="AO92" i="2" s="1"/>
  <c r="AO124" i="2" l="1"/>
  <c r="AP124" i="2"/>
  <c r="AR80" i="2"/>
  <c r="AL110" i="2" s="1"/>
  <c r="AR81" i="2"/>
  <c r="AL113" i="2" s="1"/>
  <c r="AM80" i="2"/>
  <c r="AK110" i="2" s="1"/>
  <c r="AM81" i="2"/>
  <c r="AK113" i="2" s="1"/>
  <c r="AL106" i="2"/>
  <c r="AP90" i="2"/>
  <c r="AP93" i="2" s="1"/>
  <c r="AL105" i="2"/>
  <c r="AN131" i="2" s="1"/>
  <c r="AP131" i="2" s="1"/>
  <c r="AS131" i="2" s="1"/>
  <c r="AN90" i="2"/>
  <c r="AN93" i="2" s="1"/>
  <c r="AM90" i="2"/>
  <c r="AM93" i="2" s="1"/>
  <c r="AK106" i="2"/>
  <c r="AK90" i="2"/>
  <c r="AK93" i="2" s="1"/>
  <c r="AK105" i="2"/>
  <c r="AM131" i="2" s="1"/>
  <c r="AO131" i="2" s="1"/>
  <c r="AR131" i="2" s="1"/>
  <c r="AM134" i="2" l="1"/>
  <c r="AM127" i="2" s="1"/>
  <c r="AO127" i="2" s="1"/>
  <c r="AM135" i="2"/>
  <c r="AM128" i="2" s="1"/>
  <c r="AO128" i="2" s="1"/>
  <c r="AN134" i="2"/>
  <c r="AN127" i="2" s="1"/>
  <c r="AP127" i="2" s="1"/>
  <c r="AN135" i="2"/>
  <c r="AN128" i="2" s="1"/>
  <c r="AP128" i="2" s="1"/>
  <c r="AS124" i="2"/>
  <c r="G88" i="9" s="1"/>
  <c r="C38" i="4" s="1"/>
  <c r="AR124" i="2"/>
  <c r="C88" i="9" s="1"/>
  <c r="AO90" i="2"/>
  <c r="AO93" i="2" s="1"/>
  <c r="AL90" i="2"/>
  <c r="AL93" i="2" s="1"/>
  <c r="AK107" i="2"/>
  <c r="AM125" i="2" s="1"/>
  <c r="AM126" i="2"/>
  <c r="AN126" i="2"/>
  <c r="AL107" i="2"/>
  <c r="AN125" i="2" s="1"/>
  <c r="C87" i="9"/>
  <c r="AM129" i="2"/>
  <c r="G87" i="9"/>
  <c r="C37" i="4" s="1"/>
  <c r="AN129" i="2"/>
  <c r="C28" i="4" l="1"/>
  <c r="H87" i="9" s="1"/>
  <c r="I87" i="9"/>
  <c r="C29" i="4"/>
  <c r="H88" i="9" s="1"/>
  <c r="I88" i="9"/>
  <c r="AP126" i="2"/>
  <c r="AO129" i="2"/>
  <c r="AO126" i="2"/>
  <c r="AO125" i="2"/>
  <c r="AP129" i="2"/>
  <c r="AP125" i="2"/>
  <c r="AR128" i="2"/>
  <c r="AR127" i="2"/>
  <c r="AS128" i="2"/>
  <c r="AS127" i="2"/>
  <c r="G48" i="4" l="1"/>
  <c r="D29" i="4"/>
  <c r="L88" i="9" s="1"/>
  <c r="G49" i="4"/>
  <c r="D38" i="4"/>
  <c r="J88" i="9" s="1"/>
  <c r="AS129" i="2"/>
  <c r="G94" i="9" s="1"/>
  <c r="H94" i="9" s="1"/>
  <c r="AS126" i="2"/>
  <c r="G90" i="9" s="1"/>
  <c r="H90" i="9" s="1"/>
  <c r="AR125" i="2"/>
  <c r="C89" i="9" s="1"/>
  <c r="AR126" i="2"/>
  <c r="C90" i="9" s="1"/>
  <c r="AS125" i="2"/>
  <c r="G89" i="9" s="1"/>
  <c r="C39" i="4" s="1"/>
  <c r="AR129" i="2"/>
  <c r="C94" i="9" s="1"/>
  <c r="C92" i="9"/>
  <c r="AK144" i="2"/>
  <c r="C97" i="9" s="1"/>
  <c r="C91" i="9"/>
  <c r="AK143" i="2"/>
  <c r="C96" i="9" s="1"/>
  <c r="G91" i="9"/>
  <c r="C40" i="4" s="1"/>
  <c r="AL143" i="2"/>
  <c r="H96" i="9" s="1"/>
  <c r="G92" i="9"/>
  <c r="C41" i="4" s="1"/>
  <c r="AL144" i="2"/>
  <c r="H97" i="9" s="1"/>
  <c r="D28" i="4"/>
  <c r="L87" i="9" s="1"/>
  <c r="D37" i="4"/>
  <c r="J87" i="9" s="1"/>
  <c r="C31" i="4" l="1"/>
  <c r="H91" i="9" s="1"/>
  <c r="I91" i="9"/>
  <c r="C32" i="4"/>
  <c r="H92" i="9" s="1"/>
  <c r="I92" i="9"/>
  <c r="C30" i="4"/>
  <c r="I89" i="9"/>
  <c r="AK149" i="2"/>
  <c r="C100" i="9" s="1"/>
  <c r="C102" i="9" s="1"/>
  <c r="G140" i="9" s="1"/>
  <c r="AK148" i="2"/>
  <c r="C99" i="9" s="1"/>
  <c r="D41" i="4" l="1"/>
  <c r="J92" i="9" s="1"/>
  <c r="D40" i="4"/>
  <c r="J91" i="9" s="1"/>
  <c r="D32" i="4"/>
  <c r="L92" i="9" s="1"/>
  <c r="D31" i="4"/>
  <c r="L91" i="9" s="1"/>
  <c r="G51" i="4"/>
  <c r="D30" i="4"/>
  <c r="H89" i="9"/>
  <c r="D39" i="4"/>
  <c r="J89" i="9" s="1"/>
  <c r="G52" i="4"/>
  <c r="G50" i="4"/>
  <c r="F129" i="9"/>
  <c r="F131" i="9"/>
  <c r="L89" i="9" l="1"/>
  <c r="C106" i="9" l="1"/>
  <c r="C108" i="9"/>
  <c r="C107" i="9"/>
  <c r="C109" i="9" l="1"/>
  <c r="F104" i="9"/>
  <c r="F102" i="9"/>
  <c r="F106" i="9"/>
  <c r="F103" i="9"/>
  <c r="F105" i="9"/>
  <c r="A61" i="4" l="1"/>
  <c r="A59" i="4"/>
  <c r="A58" i="4"/>
  <c r="A60" i="4"/>
  <c r="F109" i="9" l="1"/>
</calcChain>
</file>

<file path=xl/sharedStrings.xml><?xml version="1.0" encoding="utf-8"?>
<sst xmlns="http://schemas.openxmlformats.org/spreadsheetml/2006/main" count="2020" uniqueCount="1375">
  <si>
    <t>Sie planen eine Fischzuchtanlage?</t>
  </si>
  <si>
    <r>
      <t xml:space="preserve">Mit diesem Excel-Arbeitsblatt können Sie die Belastung des Gewässers durch die Anlage </t>
    </r>
    <r>
      <rPr>
        <b/>
        <sz val="10"/>
        <rFont val="Arial"/>
        <family val="2"/>
      </rPr>
      <t>abschätzen</t>
    </r>
    <r>
      <rPr>
        <sz val="10"/>
        <rFont val="Arial"/>
        <family val="2"/>
      </rPr>
      <t>.</t>
    </r>
  </si>
  <si>
    <t>Diese Abschätzung ist eine Planungshilfe für die gewässerschutzrechtliche Beurteilung und ist zusammen mit den Baugesuchsunterlagen einzureichen.</t>
  </si>
  <si>
    <t>Die Gewässerschutzverordnung schreibt für Fischzuchtanlagen vor, dass:</t>
  </si>
  <si>
    <t>nur phosphorarmes Futter verwendet werden darf</t>
  </si>
  <si>
    <t>die Anlagen nach den Anordnungen der Behörde entschlammt werden müssen</t>
  </si>
  <si>
    <t>das aus der Anlage abfliessende Wasser höchstens 20 mg/l ungelöste Stoffe enthalten darf</t>
  </si>
  <si>
    <t>dass die Behörde die Anforderungen im Einzelfall festlegt, wenn Medikamente oder andere Stoffe (z.B. Desinfektionsmittel) verwendet werden, die das Gewässer verunreinigen können.</t>
  </si>
  <si>
    <t>Anforderungen an die Einleitung:</t>
  </si>
  <si>
    <t>Wenn keine Daten zum Vorfluter vorliegen, darf höchsten ein halber Stufenanstieg erfolgen.</t>
  </si>
  <si>
    <t>Bei einer landwirtschaftlichen Verwertung des Schlammes fliessen die enthaltenen Düngestoffe in die Nährstoffbilanz ein. Setzen Sie sich dazu mit dem lawa in Verbindung.</t>
  </si>
  <si>
    <t>Die Einleitung in ein Gewässer würde zu einer Sauerstoffzehrung oder aufgrund der gebildeten Stoff wie Nitrit oder Ammonium/Ammoniak zu einem Fischsterben führen.</t>
  </si>
  <si>
    <t>Die Einleitung in ein Gewässer ist daher verboten.</t>
  </si>
  <si>
    <t>Anfallendes Abwasser mit Desinfektionsmittel muss in die Schmutzwasserkanalisation eingeleitet werden.</t>
  </si>
  <si>
    <t>Aus Sicht des Gewässerschutzes empfehlen wir die Verwendung von Peroxiden zur Desinfektion. Diese werden rasch abgebaut.</t>
  </si>
  <si>
    <t>Aus einem Gewässer darf nicht einfach Wasser in eine Fischzuchtanlage abgeleitet werden. Dafür müssen Sie bei der Dienststelle uwe eine Entnahmebewilligung</t>
  </si>
  <si>
    <t>beantragen. Bei grösseren Wassermengen ist sogar eine Konzession notwendig.</t>
  </si>
  <si>
    <t>Auch die Einleitung von Wasser aus einer Fischzuchtanlage in ein Gewässer ist bewilligungspflichtig. Die Einleitbewilligung können Sie bei der Dienststelle uwe beantragen.</t>
  </si>
  <si>
    <t>Fischereigesetzgebung:</t>
  </si>
  <si>
    <t>Für eine Fischzuchtanlage ist eine fischereirechtliche Bewilligung notwendig (lawa).</t>
  </si>
  <si>
    <t>Aus Fischzuchtanlagen dürfen keine standortfremde Tiere entweichen.</t>
  </si>
  <si>
    <t>Fischzuchtanlagen müssen daher mit Einrichtungen ausgerüstet sein, die das Entweichen von Fischen verhindern. Die entsprechenden Unterlagen und Pläne müssen mit dem Gesuch eingereicht werden.</t>
  </si>
  <si>
    <t>Fischzucht ist kein Hobby. Fischzucht verlangt viel Wissen und Erfahrung. Die Betreiber von kommerziellen Fischzuchten müssen daher entsprechende Ausbildungskurse besuchen.</t>
  </si>
  <si>
    <t>Hinweis auf die Tierschutzverordnung:</t>
  </si>
  <si>
    <t>Die Tierschutzverordnung enthält verschiedene Bestimmungen, welche auch für die kommerzielle Fischzucht gelten. Klären Sie die Anforderungen für Ihren Fall unbedingt ab.</t>
  </si>
  <si>
    <t>Weiterhin ist auch die Tabelle 7 im Anhang 2 der Tierschutzverordnung massgebend, hier werden die Mindestanforderungen für das Halten und an den Transport von Speise- und Besatzfischen</t>
  </si>
  <si>
    <t>festgelegt (Anforderungen an die Wasserqualität und die Besatzdichte)</t>
  </si>
  <si>
    <t>Diese Auswertung ist nur eine erste grobe Abklärung. Die tatsächlichen Verhältnisse können davon abweichen. Sie können daher keine Rechte aus dieser Auswertung ableiten.</t>
  </si>
  <si>
    <t>Dieses Hilfsmittel wird laufend verbessert. Speichern Sie dieses Hilfsmittel nicht, sondern benutzen Sie jeweils die aktuelle Version auf unserer Homepage.</t>
  </si>
  <si>
    <t>Dieses Hilfsmittel ist kein Planungsinstrument für eine Fischzucht, sondern dient ausschliesslich der Abschätzung der Belastung des Abwassers/Gewässers.</t>
  </si>
  <si>
    <t>Es wird keinerlei Haftung übernommen.</t>
  </si>
  <si>
    <t>Dieses Hilfsmittel ist Eigentum des uwe Luzern</t>
  </si>
  <si>
    <t>Futterqoutient</t>
  </si>
  <si>
    <t>Energiegehalt</t>
  </si>
  <si>
    <t>Futterverlust</t>
  </si>
  <si>
    <t>kg Futter pro kg Fischzuwachs</t>
  </si>
  <si>
    <t>MJ/kg</t>
  </si>
  <si>
    <t>P-Gehalt</t>
  </si>
  <si>
    <t>%</t>
  </si>
  <si>
    <t>Fütterungsmengen</t>
  </si>
  <si>
    <t>% des Fischgewichtes pro Tag</t>
  </si>
  <si>
    <t xml:space="preserve">Literatur </t>
  </si>
  <si>
    <t>Bericht, Gewässerschutz in kommerziellen Fischzuchtanstalten mit Durchlaufanlagen GSA-Bulletin 0208</t>
  </si>
  <si>
    <t>Forellen</t>
  </si>
  <si>
    <t>Forelle, Saibling, Aesche, Barsch</t>
  </si>
  <si>
    <t>Forelle, Saibling, Aesche, Wels, Stör</t>
  </si>
  <si>
    <t>Forelle Saibling, Aesche</t>
  </si>
  <si>
    <t>Karpfen</t>
  </si>
  <si>
    <t>AquaGarant Fischprospekt</t>
  </si>
  <si>
    <t>Stör</t>
  </si>
  <si>
    <t>Landi Pilatus AG</t>
  </si>
  <si>
    <t>Literatur Nr.</t>
  </si>
  <si>
    <t>es kann somit grob mit folgenden Faktoren gerechnet werden:</t>
  </si>
  <si>
    <t>Die Phosphorgehalte des Fischfutters liegen alle um 1 %</t>
  </si>
  <si>
    <t>Verteilung des Phosphors aus dem eingesetzten Fischfutter</t>
  </si>
  <si>
    <t>vom Fisch aufgenommen</t>
  </si>
  <si>
    <t>vom Fisch ausgeschieden</t>
  </si>
  <si>
    <t>davon vom Fisch inkorporiert</t>
  </si>
  <si>
    <t>vom Ausgeschiedenen gelöst</t>
  </si>
  <si>
    <t>vom Ausgeschiedenen partikulär</t>
  </si>
  <si>
    <t>Verteilung des Stickstoffs aus dem eingesetzten Fischfutter</t>
  </si>
  <si>
    <t>Literatur Nr. 4</t>
  </si>
  <si>
    <t>Bericht zur Fischereiforschung Baden-Württemberg Heft 8, Ablaufwasser aus Forellenzucht</t>
  </si>
  <si>
    <t>kg aus 1 Tonne Salmonidenfutter</t>
  </si>
  <si>
    <t>im eingesetzten Fischfutter</t>
  </si>
  <si>
    <t>Menge an ausgeschiedenen Stoffen pro 100 kg Forellenfutter</t>
  </si>
  <si>
    <t>Parameter</t>
  </si>
  <si>
    <t>kg/100 kg Futter</t>
  </si>
  <si>
    <t>Stickstoff gelöst</t>
  </si>
  <si>
    <t>Stickstoff gebunden</t>
  </si>
  <si>
    <t>Stickstoff gesamt</t>
  </si>
  <si>
    <t>Phosphor gelöst</t>
  </si>
  <si>
    <t>Phosphor gesamt</t>
  </si>
  <si>
    <t>BSB5</t>
  </si>
  <si>
    <t>Schlammabtrennung</t>
  </si>
  <si>
    <t>Absetzbecken</t>
  </si>
  <si>
    <t>Reinigungsleistung Mikrosieb mit 60 - 100 mikroMeter Maschenweite</t>
  </si>
  <si>
    <t>Abfiltrierbare Stoffe</t>
  </si>
  <si>
    <t>Gesamtphosphor</t>
  </si>
  <si>
    <t>50-95 %</t>
  </si>
  <si>
    <t>30- 80 %</t>
  </si>
  <si>
    <t>Gesamtstickstoff</t>
  </si>
  <si>
    <t>10-30%</t>
  </si>
  <si>
    <t>21-80%</t>
  </si>
  <si>
    <t>bez. homogenisierter Probe</t>
  </si>
  <si>
    <t>Ablaufwasserbelastung in Abhängigkeit von der verdaulichen Energie (Literatur Nr. 4)</t>
  </si>
  <si>
    <t>Verdauliche Energie MJ/kg</t>
  </si>
  <si>
    <t>Gesamt-Stickstoff</t>
  </si>
  <si>
    <t>Flachfilter</t>
  </si>
  <si>
    <t>Trommelfilter</t>
  </si>
  <si>
    <t>GUS</t>
  </si>
  <si>
    <t>Intensitätsstufe I</t>
  </si>
  <si>
    <t>Intensitätsstufe II</t>
  </si>
  <si>
    <t>Intensitätsstufe I//</t>
  </si>
  <si>
    <t>kg</t>
  </si>
  <si>
    <t>&gt;500</t>
  </si>
  <si>
    <t>Futtermittelverbrauch je l/s Zulaufwasser</t>
  </si>
  <si>
    <t>kg (Absetz und Filteranlagen notwendig)</t>
  </si>
  <si>
    <t>Intensitätsstufen bei Teichanlagen (Forellen)</t>
  </si>
  <si>
    <t>Literatur Nr. 5</t>
  </si>
  <si>
    <t>Empfehlungen für Bau und Betrieb von Fischteichen, Juni 2001, Bayrisches Landesamt für Wasserwirtschaft</t>
  </si>
  <si>
    <t>Anmerkung: Schlamm muss in einem Absetzbecken abgetrennt werden. Der Überstand muss in den Filter zurückgeführt werden</t>
  </si>
  <si>
    <t>Eckdaten Kreislaufanlagen</t>
  </si>
  <si>
    <t>Fischart</t>
  </si>
  <si>
    <t>Tilapia</t>
  </si>
  <si>
    <t>Jahresproduktion 10 Tonnen</t>
  </si>
  <si>
    <t>Wasservolumen m3</t>
  </si>
  <si>
    <t>Frischwasserbedarf m3/Tag</t>
  </si>
  <si>
    <t>Düngeranfall DGVE</t>
  </si>
  <si>
    <t>Literatur 6</t>
  </si>
  <si>
    <t>Vortrag Fischzucht im Stall, ZHAW vom April 2012 am Fischforum</t>
  </si>
  <si>
    <t>Investitionskosten</t>
  </si>
  <si>
    <t>Mastdauer</t>
  </si>
  <si>
    <t>Monate</t>
  </si>
  <si>
    <t>9-18</t>
  </si>
  <si>
    <t>Produktion</t>
  </si>
  <si>
    <t>t/a</t>
  </si>
  <si>
    <t>Volumen Becken</t>
  </si>
  <si>
    <t>Literatur Nr. 6</t>
  </si>
  <si>
    <t>m3</t>
  </si>
  <si>
    <t>Filterbecken</t>
  </si>
  <si>
    <t>Abschreibung auf</t>
  </si>
  <si>
    <t>a</t>
  </si>
  <si>
    <t>Arbeitsaufwand</t>
  </si>
  <si>
    <t>h/a</t>
  </si>
  <si>
    <t>Arbeitskosten</t>
  </si>
  <si>
    <t>CHF/h</t>
  </si>
  <si>
    <t>Austauschwasser</t>
  </si>
  <si>
    <t>Nährstoffaustrag</t>
  </si>
  <si>
    <t>DGVE/1000 kg Fischproduktion</t>
  </si>
  <si>
    <t>Produktspezifische Arbeiten</t>
  </si>
  <si>
    <t>Fische füttern, Kontrolle</t>
  </si>
  <si>
    <t>Fische abfischen, töten je 400 kg</t>
  </si>
  <si>
    <t>Diverse Arbeiten</t>
  </si>
  <si>
    <t>Fischtransporte</t>
  </si>
  <si>
    <t>Vermarktung</t>
  </si>
  <si>
    <t>Projektspezifische Arbeiten</t>
  </si>
  <si>
    <t>Technischer Unterhalt, Wasseranalytik</t>
  </si>
  <si>
    <t>Administration, Weiterbildung</t>
  </si>
  <si>
    <t xml:space="preserve">Stunden je Einheit </t>
  </si>
  <si>
    <t>Vortrag Fische mögens warm, zhaw, Tagung Algen ins Netz, 25.11.2010, Ittingen</t>
  </si>
  <si>
    <t>Stromkosten kWh/Jahr</t>
  </si>
  <si>
    <t>Wasseranalysen</t>
  </si>
  <si>
    <t>Einheiten</t>
  </si>
  <si>
    <t>Kosten pro Einheit CHF</t>
  </si>
  <si>
    <t>Investitionskosten Anlage CHF</t>
  </si>
  <si>
    <t>Gebäudevorbereitung CHF</t>
  </si>
  <si>
    <t>Installation und Inbetriebnahme CHF</t>
  </si>
  <si>
    <t>Gesundheitskontrolle Fische</t>
  </si>
  <si>
    <t>Heizkosten kWh/Jahr</t>
  </si>
  <si>
    <t>Externe Betreueung und Überwachung</t>
  </si>
  <si>
    <t>Total CHF/a</t>
  </si>
  <si>
    <t>Produktion Tilapia, 10 Tonnen/a Literatur Nr. 7</t>
  </si>
  <si>
    <t>Projektkosten</t>
  </si>
  <si>
    <t>Produktspezifische Kosten</t>
  </si>
  <si>
    <t>Ankauf Jungfische</t>
  </si>
  <si>
    <t>Anlieferung Jungfische</t>
  </si>
  <si>
    <t>Häufigkeit/Anzahl pro Jahr</t>
  </si>
  <si>
    <t>Projektvorbereitung, Ausbildung, Bewilligungen</t>
  </si>
  <si>
    <t>Arbeitsverdienst CHF pro h:</t>
  </si>
  <si>
    <t>Vermarktung, Gebinde an Kunden</t>
  </si>
  <si>
    <t>Entsorgungskosten Schlachtabfälle (kg)</t>
  </si>
  <si>
    <t>Filetieren durch ext. Dienstleister /kg Frischfleisch)</t>
  </si>
  <si>
    <t>Wirtschaftlichkeit von Kreislaufanlagen</t>
  </si>
  <si>
    <t>Literatur Nr. 8</t>
  </si>
  <si>
    <t>Anlagengrösse Tonnen pro Jahr</t>
  </si>
  <si>
    <t>Anzahl Becken</t>
  </si>
  <si>
    <t>Wasservolumen Gesamtanlage m3</t>
  </si>
  <si>
    <t>Maximaler Wasserbedarf / 24 h m3</t>
  </si>
  <si>
    <t>Platzbedarf Gebäude m2</t>
  </si>
  <si>
    <t>Wärmebedarf kW</t>
  </si>
  <si>
    <t>Strombedarf kW</t>
  </si>
  <si>
    <t>Mittleres Einsetzgewicht kg</t>
  </si>
  <si>
    <t>Energie</t>
  </si>
  <si>
    <t>Biologische Daten</t>
  </si>
  <si>
    <t>Mittlere Besatzdichte kg/m3</t>
  </si>
  <si>
    <t>Futterverwertung (FQ)</t>
  </si>
  <si>
    <t>Mastzyklus Monate</t>
  </si>
  <si>
    <t>Europäischer Wels</t>
  </si>
  <si>
    <t>Verarbeitungskosten</t>
  </si>
  <si>
    <t>Verpackung+Transport</t>
  </si>
  <si>
    <t>Mittleres Verkaufsgewicht kg</t>
  </si>
  <si>
    <t>Verwaltung (Büroaufwand)</t>
  </si>
  <si>
    <t>Filetausbeute/Verluste</t>
  </si>
  <si>
    <t>sonstige Abzüge</t>
  </si>
  <si>
    <t>Preis des Lebendfisches</t>
  </si>
  <si>
    <t>Futterkosten</t>
  </si>
  <si>
    <t>Futtermenge Tonnen</t>
  </si>
  <si>
    <t>Preis pro kg</t>
  </si>
  <si>
    <t>Desinfektionsmittel</t>
  </si>
  <si>
    <t>Energie (Strom+Wärme)</t>
  </si>
  <si>
    <t>Besatz</t>
  </si>
  <si>
    <t>Verkaufspreis Filet (EUR/kg)</t>
  </si>
  <si>
    <t>Betriebsertrag (Preise in Euro)</t>
  </si>
  <si>
    <t>Produktionskosten (Preise in Euro)</t>
  </si>
  <si>
    <t>Hilfslöhne</t>
  </si>
  <si>
    <t>Kapitaldienst inkl. Zins und Tilgung</t>
  </si>
  <si>
    <t>Abwasserkosten</t>
  </si>
  <si>
    <t>Frischwasser</t>
  </si>
  <si>
    <t>Versicherung</t>
  </si>
  <si>
    <t>Sonstige Kosten und Wartung</t>
  </si>
  <si>
    <t>Gesamtkosten</t>
  </si>
  <si>
    <t>Kosten pro kg Fisch</t>
  </si>
  <si>
    <t>Betriebsergebnis (Preise in Euro)</t>
  </si>
  <si>
    <t>Wasservolumen je Fischbecken m3</t>
  </si>
  <si>
    <t>Arbeitsaufwand (AK)</t>
  </si>
  <si>
    <t>Masterarbeit Ökologische Aquakulturen als neue Einkommenquelle für die Landwirschaft im Kanton Luzern, Hochschule Luzern, Daniel Bächler</t>
  </si>
  <si>
    <t>Literatur Nr. 9</t>
  </si>
  <si>
    <t>Eingesetztes Futter</t>
  </si>
  <si>
    <t>Vom Fisch aufgenommen</t>
  </si>
  <si>
    <t>In Fischbiomasse umgewandel</t>
  </si>
  <si>
    <t>Futterverluste</t>
  </si>
  <si>
    <t>Kot Ausscheidung</t>
  </si>
  <si>
    <t>Andere Ausscheidungen</t>
  </si>
  <si>
    <t>Gelöste Nährstoffe</t>
  </si>
  <si>
    <t>Partikuläre Festststoffe</t>
  </si>
  <si>
    <t>kg Futter</t>
  </si>
  <si>
    <t>kg BSB5</t>
  </si>
  <si>
    <t>kg N</t>
  </si>
  <si>
    <t>kg P</t>
  </si>
  <si>
    <t>Voraussetzung: Fett 30%, Protein 38 %, 23.4 MJ/kg FQ 0.96</t>
  </si>
  <si>
    <t>Möglickeiten zur Reduzierung der Ablaufwasserbelastung aus der Forellenproduktion, Institut für Fischerei Starnberg</t>
  </si>
  <si>
    <t>Reinigungsarten</t>
  </si>
  <si>
    <t>Wirkungsgrade</t>
  </si>
  <si>
    <t>Ges.P</t>
  </si>
  <si>
    <t>CSB</t>
  </si>
  <si>
    <t>Ges.N</t>
  </si>
  <si>
    <t>Absetzbecken mit Kies- und Tonfilter</t>
  </si>
  <si>
    <t>WG</t>
  </si>
  <si>
    <t>Pflanzenkläranlage</t>
  </si>
  <si>
    <t>NH4-N</t>
  </si>
  <si>
    <t>NO2-N</t>
  </si>
  <si>
    <t>NO3-N</t>
  </si>
  <si>
    <t>Mikrosieb</t>
  </si>
  <si>
    <t>Reinigung von Ablaufwasser aus Forellenteichanlagen, Bayrische Landesanstalt für Landwirtschaft April 2008</t>
  </si>
  <si>
    <t>Literatur Nr. 10</t>
  </si>
  <si>
    <t>90% als NH4-N</t>
  </si>
  <si>
    <t>Wirkungsgrade von Filteranlagen</t>
  </si>
  <si>
    <t>Rückhalt</t>
  </si>
  <si>
    <t>(Vincent 1999)</t>
  </si>
  <si>
    <t>Bandfilter</t>
  </si>
  <si>
    <t>absetzbare Stoffe</t>
  </si>
  <si>
    <t>Wirkungsgrade von Pflanzenkläranlagen (PFK) bei der Reinigung des Durchlaufwassers</t>
  </si>
  <si>
    <t>Aus Bayrische Landesanstalt für Landwirtschaft, Reinigung von Ablaufwasser aus Forellenteichanlagen</t>
  </si>
  <si>
    <t>Lfl Information April 2008</t>
  </si>
  <si>
    <t>Die WG gelten für eine maximale hydraulische Belastung von 7 m3/d und m2 der PFK</t>
  </si>
  <si>
    <t>Wirkungsgrad von Pflanzenkläranlagen</t>
  </si>
  <si>
    <t>gilt auch für Klärteiche mit Pflanzenklärsystemen</t>
  </si>
  <si>
    <t>bei der Reinigung des Durchlaufwassers</t>
  </si>
  <si>
    <t>BSB5 resp. DOC</t>
  </si>
  <si>
    <t>Wirkungsgrad von Schönungsteichen</t>
  </si>
  <si>
    <t>Zusammensetzung von Fischwassser in Kreislaufsystemen (gereinigtes Kreislaufwasser)</t>
  </si>
  <si>
    <t>aus ZHAW Fachstelle für Ökologie, März 2011 (Betriebskonzept Fischzucht Kilchmann)</t>
  </si>
  <si>
    <t>Maximalwerte in mg/l</t>
  </si>
  <si>
    <t>PO4-P</t>
  </si>
  <si>
    <t>DOC</t>
  </si>
  <si>
    <t>Messung Kilchmann</t>
  </si>
  <si>
    <t>Anreicherung der schwer abbaubaren Stoffe aus dem Futter</t>
  </si>
  <si>
    <t>Wasseraustausch % pro Tag</t>
  </si>
  <si>
    <t>( 5 bis 20 %)</t>
  </si>
  <si>
    <t>Die Belastung durch Kreislaufanlagen rechnet sich also in etwa mit obigen Werten dazu kommt der Anteil</t>
  </si>
  <si>
    <t>aus dem abgetrennten Schlamm  resp. der Schlammentwässerung</t>
  </si>
  <si>
    <t>Beurteilungsstufen Gewässer</t>
  </si>
  <si>
    <t>DOC bei geringer Vorbelastung</t>
  </si>
  <si>
    <t>Grenzwerte von</t>
  </si>
  <si>
    <t>Grenzwerte bis</t>
  </si>
  <si>
    <t>Qualitätsgrenze</t>
  </si>
  <si>
    <t>Beurteilungsstufen</t>
  </si>
  <si>
    <t>Rang</t>
  </si>
  <si>
    <t>mg/l</t>
  </si>
  <si>
    <t xml:space="preserve"> &lt; mg/l</t>
  </si>
  <si>
    <t>sehr gut</t>
  </si>
  <si>
    <t>gut</t>
  </si>
  <si>
    <t>mässig</t>
  </si>
  <si>
    <t>unbefriedigend</t>
  </si>
  <si>
    <t>schlecht</t>
  </si>
  <si>
    <t>zu schlecht</t>
  </si>
  <si>
    <t>DOC für alle anderen Gewässer</t>
  </si>
  <si>
    <t>&lt; mg/l</t>
  </si>
  <si>
    <t>Ammoniumbelastung</t>
  </si>
  <si>
    <t>Wird benötigt, wenn keine Angaben zur Belastung des Bachs vorhanden sind</t>
  </si>
  <si>
    <t>Eine Verschlechterung um den Anteil einer Qualitätsstufe bedeutet</t>
  </si>
  <si>
    <t xml:space="preserve">Mit Faktor </t>
  </si>
  <si>
    <t>grob einen Anstieg um</t>
  </si>
  <si>
    <t>Anstieg mg/l</t>
  </si>
  <si>
    <t>bei geringer Vorbelastung</t>
  </si>
  <si>
    <t>Ammonium-N</t>
  </si>
  <si>
    <t>P gelöst</t>
  </si>
  <si>
    <t>Besatzdichten (kein Verweis, nur Info)</t>
  </si>
  <si>
    <t>In der Literatur sind ganz unterschiedliche Angaben zu finden, bei hohen Besatzdichten</t>
  </si>
  <si>
    <t>wie für Durchlauf und Kreislaufanlagen sind etwa folgende Werte zu finden:</t>
  </si>
  <si>
    <t>Besatzdichten</t>
  </si>
  <si>
    <t>Bemerkung</t>
  </si>
  <si>
    <t>kg/m3</t>
  </si>
  <si>
    <t>im Mittel ca.</t>
  </si>
  <si>
    <t>Lachse</t>
  </si>
  <si>
    <t>bis 50 in Intensivzucht, ev. höher bei tiefen Wassertemperaturen</t>
  </si>
  <si>
    <t xml:space="preserve"> "artgerecht" oder in Teichhaltung</t>
  </si>
  <si>
    <t>Datengrundlage Kanton Bern 2008</t>
  </si>
  <si>
    <t xml:space="preserve">Grundlagen: </t>
  </si>
  <si>
    <r>
      <t xml:space="preserve">Es wird </t>
    </r>
    <r>
      <rPr>
        <b/>
        <sz val="10"/>
        <rFont val="Arial"/>
        <family val="2"/>
      </rPr>
      <t>Hochenergiefutter</t>
    </r>
    <r>
      <rPr>
        <sz val="10"/>
        <rFont val="Arial"/>
        <family val="2"/>
      </rPr>
      <t xml:space="preserve"> verwendet</t>
    </r>
  </si>
  <si>
    <t>Die Fische werden unter optimalen Bedingungen gehalten (insbesondere abhängig vom Sauerstoffgehalt in den Durchlaufbecken, immer mindestens 6 mg/l)</t>
  </si>
  <si>
    <t>Der Futterquotient liegt bei ca. 0.96, die Futterverluste betragen max. 4%</t>
  </si>
  <si>
    <t>Menge an ausgeschiedenen Stoffen</t>
  </si>
  <si>
    <t>pro 100 kg Forellenfutter:</t>
  </si>
  <si>
    <t xml:space="preserve">Parameter </t>
  </si>
  <si>
    <t>gelöst</t>
  </si>
  <si>
    <t>Stickstoff partikulär</t>
  </si>
  <si>
    <t>Phosphor partikulär</t>
  </si>
  <si>
    <t>Schlammenge</t>
  </si>
  <si>
    <r>
      <t xml:space="preserve">1 kg produzierte Fischmenge benötigt kg Fischfutter :
</t>
    </r>
    <r>
      <rPr>
        <sz val="9"/>
        <rFont val="Arial"/>
        <family val="2"/>
      </rPr>
      <t>(Futterquotient=0.96), bei Einsatz von Hochenergiefutter mit Energiegehalt: 23,4 MJ/kg und ca. 4% Verlust</t>
    </r>
  </si>
  <si>
    <t>Der Futterquotient, Verwertungskoeffizient oder Konversionsfaktor gibt an, welche Futtermenge benötigt wird, um einen Zuwachs von 1 kg Fisch zu erreichen. Da das Futter in Trockenform gereicht wird, die Fische aber als Lebendgewicht gemessen werden, sind Werte von 0.8–1.5 möglich. 
         Futterquotient = aufgenommene Nahrung [kg]/ Zuwachs [kg]</t>
  </si>
  <si>
    <t>Freigesetzte Nährstoffe aus Schlamm (innerhalb 1 Monat)</t>
  </si>
  <si>
    <t>pro 100 kg Futter</t>
  </si>
  <si>
    <t>im Schlamm verbleibende Nährstoffe (nach 1 Monat)</t>
  </si>
  <si>
    <t xml:space="preserve">C </t>
  </si>
  <si>
    <t>Thematik Futtermittel</t>
  </si>
  <si>
    <t>Thematik Ausscheidungen</t>
  </si>
  <si>
    <t>Thematik Schlamm</t>
  </si>
  <si>
    <t>Grundlagen wie oben</t>
  </si>
  <si>
    <t>Reinigungsleistung Schlammabtrennung Literatur Nr. 4</t>
  </si>
  <si>
    <t>Thematik Nachbehandlung Ablaufwasser</t>
  </si>
  <si>
    <t>Thematik Intensität der Fischzucht bei Teichanlagen</t>
  </si>
  <si>
    <t>Thematik Kreislaufanlagen</t>
  </si>
  <si>
    <t>Thematik Wirtschaftlichkeit</t>
  </si>
  <si>
    <t>Info aus der Tierschutzverordnung</t>
  </si>
  <si>
    <t>Mindestanforderungen für das Halten und den Transport von Speise- und Besatzfische, Anhang 2, Tabelle 7</t>
  </si>
  <si>
    <t>Anforderung an die Haltung</t>
  </si>
  <si>
    <t>Einheit</t>
  </si>
  <si>
    <t>Forellenartige</t>
  </si>
  <si>
    <t>Karpfenartige</t>
  </si>
  <si>
    <t>Maximale Besatzdichte pro m3 Wasser</t>
  </si>
  <si>
    <t>25-100</t>
  </si>
  <si>
    <t>28-100</t>
  </si>
  <si>
    <t>Der Tierbesatz ist so zu wählen, dass jederzeit alle Parameter der Wasserqualität eingehalten sind</t>
  </si>
  <si>
    <t>Wasserqualität</t>
  </si>
  <si>
    <t>Sauerstoffsättigung maximal, Erwachsene</t>
  </si>
  <si>
    <t>Sauerstoffsättigung minimal, Erwachsene</t>
  </si>
  <si>
    <t>Sauerstoffsättigung maximal, Jungtiere</t>
  </si>
  <si>
    <t>Sauerstoffgehalt minimal im abfliessenden Wasser</t>
  </si>
  <si>
    <t>Minimaler Sauerstoffgehalt im Tierbereich</t>
  </si>
  <si>
    <t>langfristig</t>
  </si>
  <si>
    <t>kurzfristig</t>
  </si>
  <si>
    <t>Maximaler Ammoniakgehalt</t>
  </si>
  <si>
    <t>Erwachsene</t>
  </si>
  <si>
    <t>Jungtiere</t>
  </si>
  <si>
    <t>Maximaler Nitratgehalt</t>
  </si>
  <si>
    <t>Maximaler Kochsalzgehalt</t>
  </si>
  <si>
    <t>Kohlendioxidgehalt</t>
  </si>
  <si>
    <t>pH-Werte</t>
  </si>
  <si>
    <t>5.5-8.5</t>
  </si>
  <si>
    <t>6.5-9.0</t>
  </si>
  <si>
    <t>Maximale Temperatur</t>
  </si>
  <si>
    <t>°C</t>
  </si>
  <si>
    <t>Maximale Temperaturdifferenz beim Umsetzen</t>
  </si>
  <si>
    <t>Futterentzug maximal</t>
  </si>
  <si>
    <t>Tagesgrade</t>
  </si>
  <si>
    <t>Total</t>
  </si>
  <si>
    <t>Spezifische Investitionskosten</t>
  </si>
  <si>
    <t>Pilotanlage Bachtellachs, Kreislaufanlage, 3 Tonnen/Jahr</t>
  </si>
  <si>
    <t>%/Tag</t>
  </si>
  <si>
    <t>Abschreibungs-satz % pro a</t>
  </si>
  <si>
    <t>Total Kosten, ohne Filetieren</t>
  </si>
  <si>
    <t>Laufende Kosten</t>
  </si>
  <si>
    <t>Lohnkosten</t>
  </si>
  <si>
    <t>Total Jahreskosten</t>
  </si>
  <si>
    <t>übrige Kosten pro Jahr</t>
  </si>
  <si>
    <t xml:space="preserve">Frischwasser </t>
  </si>
  <si>
    <t>Achtung: Kosten bei bestehenden Gebäuden, Gebäude abgschrieben</t>
  </si>
  <si>
    <t>Total Stunden</t>
  </si>
  <si>
    <t>Anlage Farni, 140 m3, Produktion 10 to/a</t>
  </si>
  <si>
    <t>Sauerstoff</t>
  </si>
  <si>
    <t>Versicherungen Brand/Elementarschaden etc.</t>
  </si>
  <si>
    <t>Bemerkungen</t>
  </si>
  <si>
    <t>Mietwertanteil Gebäude</t>
  </si>
  <si>
    <t xml:space="preserve">Futtermittel kg </t>
  </si>
  <si>
    <t>Diverses</t>
  </si>
  <si>
    <t>Kohlenstoff</t>
  </si>
  <si>
    <t>Stickstoff</t>
  </si>
  <si>
    <t>Phosphor</t>
  </si>
  <si>
    <t>fest</t>
  </si>
  <si>
    <t>C</t>
  </si>
  <si>
    <t>Anteil freigesetzt</t>
  </si>
  <si>
    <t>davon als Ammonium-N</t>
  </si>
  <si>
    <t>Dies Kennzahlen stimmen alle überein, dürfte ursprünglich aus der selben Literatur stammen</t>
  </si>
  <si>
    <t>Anteil an gelöstem N</t>
  </si>
  <si>
    <t>davon Ammonium-N</t>
  </si>
  <si>
    <t>Auswahlliste Fischart</t>
  </si>
  <si>
    <t>Saibling</t>
  </si>
  <si>
    <t>Aesche</t>
  </si>
  <si>
    <t>Zander</t>
  </si>
  <si>
    <t>Barsch</t>
  </si>
  <si>
    <t>Wels</t>
  </si>
  <si>
    <t>Resultate Futter</t>
  </si>
  <si>
    <t>Ausscheidungen</t>
  </si>
  <si>
    <t>Eingesetzte Futtermenge</t>
  </si>
  <si>
    <t>kg/Tag</t>
  </si>
  <si>
    <t>Futterverluste 4%</t>
  </si>
  <si>
    <t>eingetragener Energiegehalt</t>
  </si>
  <si>
    <t>max. Fischgewicht</t>
  </si>
  <si>
    <t>kg eingetragen</t>
  </si>
  <si>
    <t>Theor. Futterbedarf</t>
  </si>
  <si>
    <r>
      <t>Kennzahlen Futtermittel, Zuwachsfutter</t>
    </r>
    <r>
      <rPr>
        <b/>
        <sz val="10"/>
        <color rgb="FFFF0000"/>
        <rFont val="Arial"/>
        <family val="2"/>
      </rPr>
      <t xml:space="preserve"> (1)</t>
    </r>
  </si>
  <si>
    <r>
      <t>In Tool verwendet aus</t>
    </r>
    <r>
      <rPr>
        <b/>
        <sz val="11"/>
        <color rgb="FFFF0000"/>
        <rFont val="Arial"/>
        <family val="2"/>
      </rPr>
      <t xml:space="preserve"> (1)</t>
    </r>
  </si>
  <si>
    <r>
      <t xml:space="preserve">soll aus </t>
    </r>
    <r>
      <rPr>
        <sz val="10"/>
        <color rgb="FFFF0000"/>
        <rFont val="Arial"/>
        <family val="2"/>
      </rPr>
      <t>a)</t>
    </r>
  </si>
  <si>
    <r>
      <t>Anteile Fäkalien</t>
    </r>
    <r>
      <rPr>
        <b/>
        <sz val="10"/>
        <color rgb="FFFF0000"/>
        <rFont val="Arial"/>
        <family val="2"/>
      </rPr>
      <t xml:space="preserve"> (3)</t>
    </r>
  </si>
  <si>
    <r>
      <t xml:space="preserve">kg C aus </t>
    </r>
    <r>
      <rPr>
        <sz val="10"/>
        <color rgb="FFFF0000"/>
        <rFont val="Arial"/>
        <family val="2"/>
      </rPr>
      <t>c)</t>
    </r>
  </si>
  <si>
    <r>
      <t>10 kg BSB</t>
    </r>
    <r>
      <rPr>
        <vertAlign val="subscript"/>
        <sz val="10"/>
        <rFont val="Arial"/>
        <family val="2"/>
      </rPr>
      <t>5</t>
    </r>
    <r>
      <rPr>
        <sz val="10"/>
        <rFont val="Arial"/>
        <family val="2"/>
      </rPr>
      <t xml:space="preserve"> entspricht 5 kg DOC (aufgrund der Eidg. Gewässerschutzverordnung Anhang 2: Anforderungen an Fliessgewässer</t>
    </r>
    <r>
      <rPr>
        <b/>
        <sz val="10"/>
        <color rgb="FFFF0000"/>
        <rFont val="Arial"/>
        <family val="2"/>
      </rPr>
      <t xml:space="preserve"> c)</t>
    </r>
    <r>
      <rPr>
        <sz val="10"/>
        <rFont val="Arial"/>
        <family val="2"/>
      </rPr>
      <t>)</t>
    </r>
    <r>
      <rPr>
        <vertAlign val="subscript"/>
        <sz val="10"/>
        <rFont val="Arial"/>
        <family val="2"/>
      </rPr>
      <t xml:space="preserve"> </t>
    </r>
  </si>
  <si>
    <r>
      <t xml:space="preserve">Kennzahlen Ausscheidungen der Fische (Forellenzucht) </t>
    </r>
    <r>
      <rPr>
        <b/>
        <sz val="10"/>
        <color rgb="FFFF0000"/>
        <rFont val="Arial"/>
        <family val="2"/>
      </rPr>
      <t>(2)</t>
    </r>
  </si>
  <si>
    <t>Absetzbare Stoffe g/Tonne</t>
  </si>
  <si>
    <t>Gesamt-Stickstoff  g/Tonne</t>
  </si>
  <si>
    <t>Gesamt-Phosphor  g/Tonne</t>
  </si>
  <si>
    <t>Umrechnungsfaktoren aus Hochenergiefutter 23.4 MJ/kg</t>
  </si>
  <si>
    <t>linear</t>
  </si>
  <si>
    <t>Ausgleich</t>
  </si>
  <si>
    <t>Faktoren bez auf Hochenergiefutter</t>
  </si>
  <si>
    <t>b</t>
  </si>
  <si>
    <r>
      <t xml:space="preserve">Ausgleich Linear, Faktoren </t>
    </r>
    <r>
      <rPr>
        <sz val="10"/>
        <color rgb="FFFF0000"/>
        <rFont val="Arial"/>
        <family val="2"/>
      </rPr>
      <t>d)</t>
    </r>
  </si>
  <si>
    <t>23.4 MJ/kg</t>
  </si>
  <si>
    <t>aus soll</t>
  </si>
  <si>
    <t>aus eingetragen</t>
  </si>
  <si>
    <t>als Ammonium</t>
  </si>
  <si>
    <t>fest (inkl. Futterverlust)</t>
  </si>
  <si>
    <t>Summe gelöste und partikulare Stoffe</t>
  </si>
  <si>
    <t>Umgerechnet auf Energiegehalt</t>
  </si>
  <si>
    <t>m3/Tag</t>
  </si>
  <si>
    <t>P-Fällung bei Kreislaufanlagen</t>
  </si>
  <si>
    <t>Es sind mehere Möglichkeiten denkbar:</t>
  </si>
  <si>
    <t>Bei der Fällung mit Eisenchlorid sollte eine Restkonzentration von 0.8 bis 1 mg P pro Liter erreichbar sein</t>
  </si>
  <si>
    <t>Fischbecken</t>
  </si>
  <si>
    <t>Schlammabzug</t>
  </si>
  <si>
    <t>Vorfluter</t>
  </si>
  <si>
    <t>P-Fällung nach dem Biofilter, vor Einleitung in den Vorfluter</t>
  </si>
  <si>
    <t>Variante 2:</t>
  </si>
  <si>
    <t>P-Fällung im Schlammabsetzbecken</t>
  </si>
  <si>
    <t>Statt das "Klarwasser" aus dem Schlammstapel in den Trommelfilter zurückzuführen</t>
  </si>
  <si>
    <t>Durch die Fällung im Schlammstapel würden die Absetzeigenschaften des Schlamms verbessert, so dass</t>
  </si>
  <si>
    <t>eventuell der GUS-Grenzwert eingehalten würde. Diese Variante müsste mal getestet werden.</t>
  </si>
  <si>
    <t>Der Schlamm aus der Rückspülung des Trommelfilters lässt sich nur schwer absetzen.</t>
  </si>
  <si>
    <t>könnte die P-Fällung im Schlammstapel erfolgen und das Klarwasser in den Vorfluter geleitet werden (mit Sicherheitsfilter).</t>
  </si>
  <si>
    <t>Variante 3:</t>
  </si>
  <si>
    <t>Klarwasserabzug und Auslauf Biofilter in P-Fällung</t>
  </si>
  <si>
    <t>"Klarwasser"                 P-Fällung</t>
  </si>
  <si>
    <t>Keine Klarwasserrückführung in den Trommelfilter</t>
  </si>
  <si>
    <t>Gesamt-P</t>
  </si>
  <si>
    <t>Lachsproduktion Spitzhof, zhaw Semesterarbeit 2, Martin Keller, Januar 2012</t>
  </si>
  <si>
    <t>Leistung Biofilter aus Lit. 11</t>
  </si>
  <si>
    <t>Eliminationsrate Biofilter</t>
  </si>
  <si>
    <t>Leistung Klärteich aus Lit.11</t>
  </si>
  <si>
    <t>Eliminationsrate Klärteich</t>
  </si>
  <si>
    <t>Nitrit-N</t>
  </si>
  <si>
    <t>Nitrat-N</t>
  </si>
  <si>
    <t>Gesamt-N</t>
  </si>
  <si>
    <t>ca. Zulaufkonzentration mg/l</t>
  </si>
  <si>
    <t>ca. Ablaufkonzentration mg/l</t>
  </si>
  <si>
    <t>Untersuchungen Spitzhof (Kilchmann)</t>
  </si>
  <si>
    <t>maximale Belastung des Kreislaufwassers für Salmoniden</t>
  </si>
  <si>
    <t>Zu Beachten bei Kreislaufanlagen:</t>
  </si>
  <si>
    <t>Die täglich Wassererneuerung muss mindesten 10 % betragen</t>
  </si>
  <si>
    <t>Das "Klarwasser" aus dem Schlammabsetzbecken muss in den Filter zurückgeführt werden (Schlamm setzt sich schwer ab)</t>
  </si>
  <si>
    <t>Das in den Vorfluter eingeleitete Ablaufwasser muss nach dem Biofilter abgeleitet werden.</t>
  </si>
  <si>
    <t>P-Fällung häufig nötig.</t>
  </si>
  <si>
    <t>Besatzfische schwierig zu erhalten-&gt;klären Sie ab</t>
  </si>
  <si>
    <t>Verlust bei Besatzfischen bis zu 10%</t>
  </si>
  <si>
    <t>Kreislaufanlagen sind schwierig zu führen, stellen hohe Anforderungen an das Fachwissen. Vor allem die Einfahrphase ist kritisch</t>
  </si>
  <si>
    <t>Beim technischen und biologischen Betrieb kann eine Vielzahl von Störungen auftreten</t>
  </si>
  <si>
    <t>Diverses aus der Literatur</t>
  </si>
  <si>
    <t>mittlerer spezifischer Sauerstoffbedarf von Fischen ca. 250 g/t*h</t>
  </si>
  <si>
    <t>Deutscher Fischeriverband (ab ca. 3/4 des Berichts)</t>
  </si>
  <si>
    <t>Reinigungswasser darf nicht in den Bach eingeleitet werden</t>
  </si>
  <si>
    <t>P</t>
  </si>
  <si>
    <t>Nitrifikation</t>
  </si>
  <si>
    <t>Denitrifikation</t>
  </si>
  <si>
    <t>P-gelöst</t>
  </si>
  <si>
    <t>Biofilter Rückspül/Reinigungswasser, Biomassezuwachs, wie entsorgen?</t>
  </si>
  <si>
    <t>kg/Jahr</t>
  </si>
  <si>
    <t>Tel.</t>
  </si>
  <si>
    <t>3. Angaben zur Fischzucht</t>
  </si>
  <si>
    <t>2. Angaben zur Anlage</t>
  </si>
  <si>
    <t>max. Anzahl Fische in der Anlage</t>
  </si>
  <si>
    <t>Fischart (z.B. Forelle, Zander, Lachs etc.)</t>
  </si>
  <si>
    <t>maximales Fischgewicht in der Anlage</t>
  </si>
  <si>
    <t>Volumen der Fischbecken</t>
  </si>
  <si>
    <t>Gesamtvolumen der Anlage</t>
  </si>
  <si>
    <t>produzierte Fischmenge pro Jahr</t>
  </si>
  <si>
    <t>maximale eingesetzte Futtermenge pro Tag</t>
  </si>
  <si>
    <t>Anzahl</t>
  </si>
  <si>
    <t>Ablaufwassermenge aus der Anlage</t>
  </si>
  <si>
    <t>Auswahlliste Zuchtart</t>
  </si>
  <si>
    <t>Kommerzielle Zucht</t>
  </si>
  <si>
    <t>Zucht für den Eigenbedarf</t>
  </si>
  <si>
    <t>Energiegehalt des eingesetzten Futters</t>
  </si>
  <si>
    <t>Name:</t>
  </si>
  <si>
    <t>Strasse:</t>
  </si>
  <si>
    <t>PLZ:</t>
  </si>
  <si>
    <t>Ort:</t>
  </si>
  <si>
    <t>Handy:</t>
  </si>
  <si>
    <t>Anlagetyp:</t>
  </si>
  <si>
    <t/>
  </si>
  <si>
    <t>Die Betreiber von kommerziellen Fischzuchten müssen entsprechende Ausbildungskurse besuchen.</t>
  </si>
  <si>
    <t>a) Durchflussanlage</t>
  </si>
  <si>
    <t>b) Teichanlage</t>
  </si>
  <si>
    <t>c) Kreislaufanlage</t>
  </si>
  <si>
    <t>Schlammentwässerung:</t>
  </si>
  <si>
    <t>a) Lamellenklärer / Filterpresse oder ähnliches</t>
  </si>
  <si>
    <t>b) keine sofortige Entwässerung</t>
  </si>
  <si>
    <t>Anlagen mit einem ständigen Wasserdurchfluss wie Becken, Fliesskanäle, Teiche.</t>
  </si>
  <si>
    <t>flache, nicht ständig durchströmte, ablassbare Gewässer.</t>
  </si>
  <si>
    <t>Kontrollwerte</t>
  </si>
  <si>
    <t>l/Sekunde</t>
  </si>
  <si>
    <t>Erläuterung Anlage</t>
  </si>
  <si>
    <t>Text Ausbildung</t>
  </si>
  <si>
    <t>Auflagen Fischereirecht</t>
  </si>
  <si>
    <t>Bei Durchfluss und Teichanlagen sind Massnahmen notwendig um das Entweichen von Fischen zu verhindern. Entsprechende Angaben und Pläne sind mit dem Gesuch einzureichen.</t>
  </si>
  <si>
    <t>Faktor aus max Fischgewicht/prod. Fischmenge, sollte etwa 0.75 sein</t>
  </si>
  <si>
    <t>Code Anlagetyp</t>
  </si>
  <si>
    <t>Bei Kreislaufanlagen mindestens 10 % Wassererneuerung pro Tag</t>
  </si>
  <si>
    <t>Besatzdichte in kg/m3</t>
  </si>
  <si>
    <t>Erläuterung</t>
  </si>
  <si>
    <t>Code Schlammentfernung</t>
  </si>
  <si>
    <t>Code Schlammentwässerung</t>
  </si>
  <si>
    <t>b) separates Absetzbecken</t>
  </si>
  <si>
    <t>c) Bandfilter</t>
  </si>
  <si>
    <t>d) Trommel / Scheibenfilter</t>
  </si>
  <si>
    <t>Name des Gewässers</t>
  </si>
  <si>
    <t>Wie wurde die Wassermenge im Bach erhoben (Schätzung/Messung)</t>
  </si>
  <si>
    <t>DOC (gel. org. Kohlenstoff)</t>
  </si>
  <si>
    <t>NH4-N (Ammonium-Stickstoff)</t>
  </si>
  <si>
    <t>P gelöst (gelöster Phosphor)</t>
  </si>
  <si>
    <t>Standort Anlage:</t>
  </si>
  <si>
    <t>Klassierung</t>
  </si>
  <si>
    <t>Schätzung</t>
  </si>
  <si>
    <t>Messung</t>
  </si>
  <si>
    <t>Auswahlliste Bestimmung Q347</t>
  </si>
  <si>
    <t>Vorbelastung Vorfluter</t>
  </si>
  <si>
    <t>Eingetragen</t>
  </si>
  <si>
    <t>Vorbelastung</t>
  </si>
  <si>
    <t>Auswahlliste Vorbelastung DOC</t>
  </si>
  <si>
    <t>gering</t>
  </si>
  <si>
    <t>hoch</t>
  </si>
  <si>
    <t>Nitratbelastung</t>
  </si>
  <si>
    <t>NO3-N (Nitrat-Stickstoff)</t>
  </si>
  <si>
    <t>eingetragen in Fischzuchtanlage</t>
  </si>
  <si>
    <t>Berechnet die jeweiligen Anteile an Nährstoffen in gelöster und fester Fom</t>
  </si>
  <si>
    <t>bei Verwendung von</t>
  </si>
  <si>
    <t>Hochenergiefutter</t>
  </si>
  <si>
    <t>effektive Nährstoffausscheidungen korrigiert mit Energiegehalt</t>
  </si>
  <si>
    <t>Berechnung der Belastung verwendet!</t>
  </si>
  <si>
    <t>Zwischenberechnung</t>
  </si>
  <si>
    <t>des Futters</t>
  </si>
  <si>
    <t>MJ/kg Vorgabe, wenn kein Eintrag</t>
  </si>
  <si>
    <t>kg/a</t>
  </si>
  <si>
    <t>N</t>
  </si>
  <si>
    <t>Normale Wirkungsgrade Biofilter:</t>
  </si>
  <si>
    <t>gel.P-Reduktion</t>
  </si>
  <si>
    <t>aus Vergleich mit kommunalern Kläranlagen</t>
  </si>
  <si>
    <t>Anforderung an die Wasserqualität bei Kreislaufanlagen</t>
  </si>
  <si>
    <t>diverse Literatur</t>
  </si>
  <si>
    <t>Die Fische in der Anlage benötigen eine bestimmte Wasserqualität. Daher muss der Biofilter sicherstellen,</t>
  </si>
  <si>
    <t>dass das Kreislaufwasser so gereinigt wird, dass die Wasserqualität erreicht wird.</t>
  </si>
  <si>
    <t>Das Ablaufwasser muss somit nach dem Biofilter mindestens diese Qualität haben.</t>
  </si>
  <si>
    <t>Anforderungen an die Kreislaufwasserqualität:</t>
  </si>
  <si>
    <t>Ammonium N</t>
  </si>
  <si>
    <t>max. 1 mg/l</t>
  </si>
  <si>
    <t>max 200 mg/l</t>
  </si>
  <si>
    <t>Die Berechnung der Ablaufwasserkonzentration über einen Wirkungsgrad des Biofilters ist extrem ungenau, das die WG stark schwanken können.</t>
  </si>
  <si>
    <t>Grundsätzlich müssen alle freigesetzten Stoffe wieder aus der Anlage entfernt werden damit sich ein Gleichgewicht einstellt. Bei P kann somit die aus dem Futter</t>
  </si>
  <si>
    <t>freigesetzte P-Menge verwendet werden, da der P-Verbrauch durch den Biofilter gering ist.</t>
  </si>
  <si>
    <t>max. 1-4 mg/l</t>
  </si>
  <si>
    <t>Die freigesetzte Stickstoffmenge liegt zu 90 % als Ammonium-N vor. Dieses wird durch den Biofilter praktisch vollständig in NO3-N umgewandelt</t>
  </si>
  <si>
    <t>Wenn die Kreislaufanlage mit einer Denitrifikationsstufe ausgerüstet ist, kann etwa von einem Wirkungsgrad von 50 % ausgegangen werden</t>
  </si>
  <si>
    <t>Die Nitrat-N Konzentration entspricht dann etwa der freigesetzten Stickstoffmenge * WG Denitrifikation</t>
  </si>
  <si>
    <t>fester Wert</t>
  </si>
  <si>
    <r>
      <t xml:space="preserve">des eingesetzten Futters </t>
    </r>
    <r>
      <rPr>
        <sz val="10"/>
        <color rgb="FFFF0000"/>
        <rFont val="Arial"/>
        <family val="2"/>
      </rPr>
      <t>d)</t>
    </r>
    <r>
      <rPr>
        <sz val="10"/>
        <color theme="1"/>
        <rFont val="Arial"/>
        <family val="2"/>
      </rPr>
      <t>. Diese Werte werden für die</t>
    </r>
  </si>
  <si>
    <r>
      <t xml:space="preserve">=Rückgabewerte </t>
    </r>
    <r>
      <rPr>
        <sz val="10"/>
        <color rgb="FFFF0000"/>
        <rFont val="Arial"/>
        <family val="2"/>
      </rPr>
      <t>e)</t>
    </r>
  </si>
  <si>
    <t>Für die Berechnung des Nitratgehaltes im Ablaufwasser wird der gesamte Stickstoff als Nitrat-N verwendet (vollständige Nitrifikation):</t>
  </si>
  <si>
    <t>WG Denitrifikation</t>
  </si>
  <si>
    <t>Zusammengefasste Berechnung:</t>
  </si>
  <si>
    <t>aus eingetragenen Werten</t>
  </si>
  <si>
    <t>gebildete Schlammmenge</t>
  </si>
  <si>
    <t>Wirkungsgrade der Schlammabtrennung</t>
  </si>
  <si>
    <t>Ausscheidungen aus dem eingesetzten Futter</t>
  </si>
  <si>
    <t>ohne Abtrennung</t>
  </si>
  <si>
    <t>mit Abtrennung</t>
  </si>
  <si>
    <t>Eintrage aus Fischzuchtanlage:</t>
  </si>
  <si>
    <t>Schlammabtrennung:</t>
  </si>
  <si>
    <t>Typ:</t>
  </si>
  <si>
    <t>Q347</t>
  </si>
  <si>
    <t xml:space="preserve">Vorbelastung des Bachs </t>
  </si>
  <si>
    <t>l/s</t>
  </si>
  <si>
    <t>DOC natürlich</t>
  </si>
  <si>
    <t>Einträge Gewässer:</t>
  </si>
  <si>
    <t>abgetrennte Schlammmenge</t>
  </si>
  <si>
    <t>Resultat WG</t>
  </si>
  <si>
    <t>Anteile</t>
  </si>
  <si>
    <t>Resultat</t>
  </si>
  <si>
    <t>Wenn keine Schlammabtrennung (Typ1 oder 2) dann mit Freisetzung Typ 2 rechnen</t>
  </si>
  <si>
    <t>alle Anlagetypen:</t>
  </si>
  <si>
    <t>Durchlaufanlage oder Kreislaufanlage:</t>
  </si>
  <si>
    <t>in Schlamm</t>
  </si>
  <si>
    <t>freigesetzt</t>
  </si>
  <si>
    <t>in Bioschlamm</t>
  </si>
  <si>
    <t>Anteil P</t>
  </si>
  <si>
    <r>
      <t xml:space="preserve">In Tool verwendet </t>
    </r>
    <r>
      <rPr>
        <b/>
        <sz val="11"/>
        <color rgb="FFFF0000"/>
        <rFont val="Arial"/>
        <family val="2"/>
      </rPr>
      <t>1.1</t>
    </r>
  </si>
  <si>
    <r>
      <t xml:space="preserve">Freigesetzte Stoffe </t>
    </r>
    <r>
      <rPr>
        <b/>
        <sz val="10"/>
        <color rgb="FFFF0000"/>
        <rFont val="Arial"/>
        <family val="2"/>
      </rPr>
      <t>1.1</t>
    </r>
  </si>
  <si>
    <r>
      <t>Freigesetzte Nährstoffe  aus Schlamm</t>
    </r>
    <r>
      <rPr>
        <b/>
        <sz val="10"/>
        <color rgb="FFFF0000"/>
        <rFont val="Arial"/>
        <family val="2"/>
      </rPr>
      <t xml:space="preserve"> 1.3</t>
    </r>
  </si>
  <si>
    <r>
      <t xml:space="preserve">Verwendet in Tool </t>
    </r>
    <r>
      <rPr>
        <b/>
        <sz val="10"/>
        <color rgb="FFFF0000"/>
        <rFont val="Arial"/>
        <family val="2"/>
      </rPr>
      <t>1.2</t>
    </r>
  </si>
  <si>
    <r>
      <t xml:space="preserve">Verwendet in Tool, </t>
    </r>
    <r>
      <rPr>
        <b/>
        <sz val="10"/>
        <color rgb="FFFF0000"/>
        <rFont val="Arial"/>
        <family val="2"/>
      </rPr>
      <t>1.2</t>
    </r>
  </si>
  <si>
    <t>Bilanz Durchlaufanlage:</t>
  </si>
  <si>
    <t>soll</t>
  </si>
  <si>
    <t>aus Freisetzung</t>
  </si>
  <si>
    <t>aus Ausscheidung</t>
  </si>
  <si>
    <t>Summe</t>
  </si>
  <si>
    <t>im Ablaufwasser in kg/Tag</t>
  </si>
  <si>
    <t xml:space="preserve">Berechnung freigesetzte Nährstoffe aus abgetrenntem Schlamm bei Durchlaufanlagen: </t>
  </si>
  <si>
    <t>Der abgetrennte Schlamm wird in einem Stapel entwässert, der Schlamm wird täglich</t>
  </si>
  <si>
    <t>Berechnung freigesetzte Nährstoffe bei Teichanlagen</t>
  </si>
  <si>
    <r>
      <t xml:space="preserve">Schlammabtrennung bei Durchlaufanlagen </t>
    </r>
    <r>
      <rPr>
        <b/>
        <sz val="10"/>
        <color rgb="FFFF0000"/>
        <rFont val="Arial"/>
        <family val="2"/>
      </rPr>
      <t>1.2</t>
    </r>
  </si>
  <si>
    <t>Der nicht abgetrennt Schlamm wird bei Durchlaufanlagen ausgeschwemmt (GUS). Erfolgt keine</t>
  </si>
  <si>
    <t>Schlammabtrennung, verbleibt ein Teil des Schlammes in der Anlage, daher wird die Freisetzung</t>
  </si>
  <si>
    <t>*</t>
  </si>
  <si>
    <t>wie mit einem Absetzbecken (*) gerechnet. Der GUS muss aber voll dem Ablaufwasser zugeschlagen werden.</t>
  </si>
  <si>
    <t>Bei Teichanlagen verbleibt der gesamte Schlamm im Teich, die Nährstoffe werden somit freigesetzt</t>
  </si>
  <si>
    <t>Bei der Bilanzierung muss allerdings der Wirkungsgrad des Teichs (wie Schönungsteich) einbezogen</t>
  </si>
  <si>
    <t>werden, da die Pflanzen und Mikroorganismen Nährstoffe abbauen.</t>
  </si>
  <si>
    <t>Schlamm *</t>
  </si>
  <si>
    <t>Beim GUS wird aber keine Reduktion vorgenommen, da der gesamte gebildete Schlamm ausgeschwemmt wird.</t>
  </si>
  <si>
    <t>* Wenn keine Schlammabtrennung erfolgt, wird eine Freisetzung aus dem Schlamm wie bei einem Absetzbecken</t>
  </si>
  <si>
    <t>angenommen (Aufenthaltszeit).</t>
  </si>
  <si>
    <t>C gelöst</t>
  </si>
  <si>
    <t>Ein Teil des Phosphors (und C) ist noch an den GUS gebunden. Der angezeigte partikuläre Anteil entspricht dem Anteil im GUS</t>
  </si>
  <si>
    <t>aus GUS</t>
  </si>
  <si>
    <t>in Wasser</t>
  </si>
  <si>
    <t>in GUS</t>
  </si>
  <si>
    <t>eingesetzt:</t>
  </si>
  <si>
    <t>Summe:</t>
  </si>
  <si>
    <t>Kontrolle Bilanz:</t>
  </si>
  <si>
    <t>GUS *</t>
  </si>
  <si>
    <t>im Schlamm *</t>
  </si>
  <si>
    <t>* Im Fall ohne Schlammabtrennung muss die Menge im Schlamm dem GUS dazugerechnet weden,</t>
  </si>
  <si>
    <t>weil der gesamte Schlamm ausgespült wird</t>
  </si>
  <si>
    <t>Bilanz Kreislaufanlage:</t>
  </si>
  <si>
    <t>Anteil N</t>
  </si>
  <si>
    <t>Für NH4-N, NO2-N, DOC und GUS werden feste Ablaufkonzentrationen verwendet</t>
  </si>
  <si>
    <t>Bilanz Teichanlage:</t>
  </si>
  <si>
    <r>
      <t xml:space="preserve">Verwendet in Tool, </t>
    </r>
    <r>
      <rPr>
        <b/>
        <sz val="10"/>
        <color rgb="FFFF0000"/>
        <rFont val="Arial"/>
        <family val="2"/>
      </rPr>
      <t>1.5</t>
    </r>
  </si>
  <si>
    <r>
      <t xml:space="preserve">Ablaufkonzentrationen bei Kreislaufanlagen </t>
    </r>
    <r>
      <rPr>
        <b/>
        <sz val="10"/>
        <color rgb="FFFF0000"/>
        <rFont val="Arial"/>
        <family val="2"/>
      </rPr>
      <t>1.6)</t>
    </r>
  </si>
  <si>
    <r>
      <t xml:space="preserve">mit WG aus </t>
    </r>
    <r>
      <rPr>
        <b/>
        <sz val="10"/>
        <color rgb="FFFF0000"/>
        <rFont val="Arial"/>
        <family val="2"/>
      </rPr>
      <t>1.5</t>
    </r>
  </si>
  <si>
    <r>
      <t xml:space="preserve">Summe mit WG aus </t>
    </r>
    <r>
      <rPr>
        <b/>
        <sz val="10"/>
        <color rgb="FFFF0000"/>
        <rFont val="Arial"/>
        <family val="2"/>
      </rPr>
      <t>1.5</t>
    </r>
  </si>
  <si>
    <t>Beim Stickstoff wird vereinfacht davon ausgegangen, dass alles zu Nitrat oxidiert wird und keine Denitrifikation stattfindet</t>
  </si>
  <si>
    <t>gel.-P</t>
  </si>
  <si>
    <t>part. P</t>
  </si>
  <si>
    <t>Ablaufwassermenge m3/Tag</t>
  </si>
  <si>
    <t>WVERWEIS(AS26;AQ29:AT35;7)</t>
  </si>
  <si>
    <t>part.-N</t>
  </si>
  <si>
    <t>part. C</t>
  </si>
  <si>
    <t>Ablaufkonzentrationen ohne weitere Nachbehandlung, mg/l:</t>
  </si>
  <si>
    <t>aus Fischfutter eingesetzt:</t>
  </si>
  <si>
    <t>Es kann daher für die Berechnung die Anforderung an das Kreislaufwasser verwendet werden, da anzunehmen ist. Dass die Biofilter entsprechend ausgelegt sind.</t>
  </si>
  <si>
    <t>Nach Trommelfilter und Biofilter</t>
  </si>
  <si>
    <t>GUS nach Trommelfilter und Biofilter</t>
  </si>
  <si>
    <t>als Nitrat nach Nit/Denit</t>
  </si>
  <si>
    <t>im Bioschlamm *</t>
  </si>
  <si>
    <t>in abgetr. Schlamm</t>
  </si>
  <si>
    <t>Der Bioschlamm sollte eigentlich durch Rückspülen in die Schlammabtrennung gehen</t>
  </si>
  <si>
    <t>aus Fischfutter:</t>
  </si>
  <si>
    <t>ohne Deni!</t>
  </si>
  <si>
    <t>mit Deni! aus Bilanz Kreislaufwasser</t>
  </si>
  <si>
    <t>aus Bilanz Kreislaufwasser</t>
  </si>
  <si>
    <t>Der im Biofilter gebildete Schlamm wird beim Rückspülen freigesetzt, dürfte aber mengenmässig</t>
  </si>
  <si>
    <t>in Wasser ohne GUS</t>
  </si>
  <si>
    <t>Auswahlliste Nachbehandlung Ablaufwasser</t>
  </si>
  <si>
    <t>a) keine</t>
  </si>
  <si>
    <t>Art der Nachbehandlung</t>
  </si>
  <si>
    <t>Code Nachbehandlung</t>
  </si>
  <si>
    <t>Nachbehandlung</t>
  </si>
  <si>
    <t>Typ Nachbehandlung:</t>
  </si>
  <si>
    <r>
      <t xml:space="preserve">fester Wert aus </t>
    </r>
    <r>
      <rPr>
        <b/>
        <sz val="10"/>
        <color rgb="FFFF0000"/>
        <rFont val="Arial"/>
        <family val="2"/>
      </rPr>
      <t>1.6</t>
    </r>
  </si>
  <si>
    <r>
      <t xml:space="preserve">aus </t>
    </r>
    <r>
      <rPr>
        <b/>
        <sz val="10"/>
        <color rgb="FFFF0000"/>
        <rFont val="Arial"/>
        <family val="2"/>
      </rPr>
      <t>1.5</t>
    </r>
  </si>
  <si>
    <r>
      <t xml:space="preserve">Verwendet in Tool </t>
    </r>
    <r>
      <rPr>
        <b/>
        <sz val="10"/>
        <color rgb="FFFF0000"/>
        <rFont val="Arial"/>
        <family val="2"/>
      </rPr>
      <t>1.3</t>
    </r>
  </si>
  <si>
    <t>Variante 1: eigentlich die einzig sinnvolle Variante</t>
  </si>
  <si>
    <t>Ges.-N</t>
  </si>
  <si>
    <t>Kein part. Anteil, da sehr wenig GUS</t>
  </si>
  <si>
    <t>soll mit WG</t>
  </si>
  <si>
    <t>nach Eintrag mit WG</t>
  </si>
  <si>
    <t>Anlagetyp</t>
  </si>
  <si>
    <t>Behandlung</t>
  </si>
  <si>
    <t>In dieser Matrix kann bestimmt werden, welche Nachbehandlung für welchen</t>
  </si>
  <si>
    <t>Faktor aus Matrix</t>
  </si>
  <si>
    <t>Index:</t>
  </si>
  <si>
    <t>Zeile</t>
  </si>
  <si>
    <t>Spalte</t>
  </si>
  <si>
    <t>ohne Nuller= Resultat Ablauf</t>
  </si>
  <si>
    <t>Durch eine Nachbehandlung des Ablaufwassers kann die Gewässerbelastung reduziert werden (nicht bei Teichanlagen).</t>
  </si>
  <si>
    <t>Der Faktor aus Matrix wird mit dem WG multipliziert, so dass nur ein WG resultiert, wenn die Behandlung sinnvoll ist</t>
  </si>
  <si>
    <t>Eine Nachbehandlung ist bei Kreislaufanlagen ev. nicht sinnvoll ?, ausser P-Fällung</t>
  </si>
  <si>
    <t>Teichanlagen sind nicht durchströmt aber ablassbar. Eine Nachbehandlung ist daher nicht sinnvoll</t>
  </si>
  <si>
    <t>Ablaufkonzentration mit Nachbehandlung mg/l</t>
  </si>
  <si>
    <t>Kontrolle Mussfelder</t>
  </si>
  <si>
    <t>Summe Mussfelder (soll 3)</t>
  </si>
  <si>
    <t>dient zur Überprüfung, ob die eingetragenen</t>
  </si>
  <si>
    <t>Werte einigermassen plausibel sind</t>
  </si>
  <si>
    <t>diese Felder müssen ausgefüllt werden</t>
  </si>
  <si>
    <t>Praxisresultate</t>
  </si>
  <si>
    <t>gemessen</t>
  </si>
  <si>
    <t>Muri Schötz, Kreislaufanlage</t>
  </si>
  <si>
    <t>Ges. N</t>
  </si>
  <si>
    <t>Ges. P</t>
  </si>
  <si>
    <t>* GUS!</t>
  </si>
  <si>
    <t>berechnet</t>
  </si>
  <si>
    <t>Kreislaufanlagen</t>
  </si>
  <si>
    <t>Kilchmann Malters mit Schönungsteich</t>
  </si>
  <si>
    <t>Gel. P</t>
  </si>
  <si>
    <t>Hostetter Egolzwil</t>
  </si>
  <si>
    <t>P gesamt</t>
  </si>
  <si>
    <t>Vorfluter nach Einleitung</t>
  </si>
  <si>
    <t>Konzentrationserhöhung</t>
  </si>
  <si>
    <t>Gesamtbelastung</t>
  </si>
  <si>
    <t>gesamt-P unfiltriert</t>
  </si>
  <si>
    <t>P ges</t>
  </si>
  <si>
    <t>P gesamt unfiltriert</t>
  </si>
  <si>
    <t>P gesamt (gesamter Phosphor)</t>
  </si>
  <si>
    <t>Es sind noch nicht alle Muss-Felder ausgefüllt</t>
  </si>
  <si>
    <t>Art der Untersuchung (Stichprobe, Untersuchuchgsreihe)</t>
  </si>
  <si>
    <t>Klassierung *</t>
  </si>
  <si>
    <t>P-Fracht bei maximaler Fischbiomasse in der Anlage</t>
  </si>
  <si>
    <t>CSB aus (DOC + 0.8*GUS)*3  berechnet</t>
  </si>
  <si>
    <t>bei max. Fischbiomasse</t>
  </si>
  <si>
    <t>gem. Eintrag</t>
  </si>
  <si>
    <t>gemäss Eintrag</t>
  </si>
  <si>
    <t>gem. Eintrag mit WG</t>
  </si>
  <si>
    <t>Gesamt-P g/Tag</t>
  </si>
  <si>
    <t>P gelöst g/Tag</t>
  </si>
  <si>
    <r>
      <t>P-Frachten in</t>
    </r>
    <r>
      <rPr>
        <b/>
        <sz val="10"/>
        <color rgb="FFFF0000"/>
        <rFont val="Arial"/>
        <family val="2"/>
      </rPr>
      <t xml:space="preserve"> g/d</t>
    </r>
  </si>
  <si>
    <t>P-Fracht soll g/Tag</t>
  </si>
  <si>
    <t>Beurteilung</t>
  </si>
  <si>
    <t>Wenn Vorbelastung eingegeben</t>
  </si>
  <si>
    <t>Klassierung Vorfluter</t>
  </si>
  <si>
    <t>Grenzwert 20 mg/l</t>
  </si>
  <si>
    <t>P-Jahresfracht aus Jahresfuttermenge mit Verhältnis aus maximal eingesetzte Futtermenge/Tag</t>
  </si>
  <si>
    <t>geteilt durch Ablauffracht</t>
  </si>
  <si>
    <t>P-Tagesfracht maximal</t>
  </si>
  <si>
    <r>
      <t>P-Frachten in</t>
    </r>
    <r>
      <rPr>
        <b/>
        <sz val="10"/>
        <color rgb="FFFF0000"/>
        <rFont val="Arial"/>
        <family val="2"/>
      </rPr>
      <t xml:space="preserve"> kg/a</t>
    </r>
  </si>
  <si>
    <t>Faktor max. Stufenanstieg "tragbar"</t>
  </si>
  <si>
    <t>Faktor max. Stufenanstieg "kritisch"</t>
  </si>
  <si>
    <t>Kontrollwerte = Spalte Soll in Blatt Grundlagen</t>
  </si>
  <si>
    <t>Faktor max. Abweichung von Kontrollwerte</t>
  </si>
  <si>
    <t>gem. Eintrag Fischproduktion</t>
  </si>
  <si>
    <t>Der Quotient aus P-Fracht pro eingesetzte Futtermenge bleibt immer gleich, auch wenn falsche</t>
  </si>
  <si>
    <t>max. Futtermenge eingetragen ist. Daher wird auch die Jahresfracht immer richtig ausgegebn, da</t>
  </si>
  <si>
    <t>diese aus der produzierten Fischmenge berechnet wird.</t>
  </si>
  <si>
    <t>P gelöst kg/a</t>
  </si>
  <si>
    <t>Gesamt-P kg/a</t>
  </si>
  <si>
    <t>Futtermenge aus prod. Fisch mit Futterquot. 0.96 und Energieinhalt</t>
  </si>
  <si>
    <t>Auswahlliste für Anlagetyp Achtung: es werden viele Verweise verwendet. Diese funktionieren nur, wenn die Texte alphabetisch angeordnet sind, daher a,b,c etc.</t>
  </si>
  <si>
    <t>Auswahlliste Schlammentwässerung. Achtung: es werden viele Verweise verwendet. Diese funktionieren nur, wenn die Texte alphabetisch angeordnet sind, daher a,b,c etc.</t>
  </si>
  <si>
    <t>Auswahlliste Schlammabtrennung. Achtung: es werden viele Verweise verwendet. Diese funktionieren nur, wenn die Texte alphabetisch angeordnet sind, daher a,b,c etc.</t>
  </si>
  <si>
    <t>Achtung: es werden viele Verweise verwendet. Diese funktionieren nur, wenn die Texte alphabetisch angeordnet sind, daher a,b,c etc.</t>
  </si>
  <si>
    <t>Hinweise</t>
  </si>
  <si>
    <t>Sie haben nicht alle Muss-Felder ausgefüllt, dadurch kann eine schlechtere Bewertung resultieren. Füllen Sie alle Muss-Felder aus !</t>
  </si>
  <si>
    <t>Die Einleitung des Abwassers in das Gewässer ist voraussichtlich möglich.</t>
  </si>
  <si>
    <t>Die Einleitung des Abwassers in das Gewässer ist so nicht möglich.</t>
  </si>
  <si>
    <t>Entwässern Sie den abgetrennten Schlamm mit einem Lamellenklärer oder ähnlichem (unter Ziffer 4).</t>
  </si>
  <si>
    <t>Beurteilungstexte:</t>
  </si>
  <si>
    <t>Prüfen Sie, ob eine Einleitung in einen grösseren Bach möglich ist.</t>
  </si>
  <si>
    <t>Sie können die Schlammentfernung optimieren, die Wirkung nimmt von a) nach d) zu (Ziffer 4).</t>
  </si>
  <si>
    <t>diese Felder können ausgefüllt werden</t>
  </si>
  <si>
    <t xml:space="preserve"> Beurteilung aufgrund Konzentrationserhöhung</t>
  </si>
  <si>
    <t>Bewertungstexte</t>
  </si>
  <si>
    <t>voraussichtlich tragbar</t>
  </si>
  <si>
    <t>kritisch</t>
  </si>
  <si>
    <t>nicht tragbar</t>
  </si>
  <si>
    <t>Code P-Fällung</t>
  </si>
  <si>
    <t>b) Schönungsteich</t>
  </si>
  <si>
    <t>c) Kleinkläranlage (Pflanzenkläranlage, Tropfkörper)</t>
  </si>
  <si>
    <t>WG P-Fällung</t>
  </si>
  <si>
    <t>soll mit WG P</t>
  </si>
  <si>
    <t>nach Eintrag mit WG P</t>
  </si>
  <si>
    <t>Anlagetyp sinnvoll ist (1=sinnvoll; 0=nicht sinnvoll)</t>
  </si>
  <si>
    <t>Sie können eine Nachbehandlung des Abwassers durchführen, die Wirkung nimmt von a) nach c) zu.</t>
  </si>
  <si>
    <t>Anzahl tragbar</t>
  </si>
  <si>
    <t>Anzahl kritisch</t>
  </si>
  <si>
    <t>Anzahl nicht tragbar</t>
  </si>
  <si>
    <t>Bandfilter: umlaufendes Siebband (Maschenweite 60 bis 100 Mikrometer). Dies reduziert den Gehalt an ungelösten Stoffen (GUS) um etwa 50 % und vermindert die Rücklösung von Kohlenstoff-, Stickstoff- und Phosphorverbindungen.</t>
  </si>
  <si>
    <t>Mit Schönungsteichen können die ungelösten Stoffe (GUS) um etwa 2/3 und die gelösten Stoffe um etwa 1/3 reduziert werden.</t>
  </si>
  <si>
    <t>Grafik Konzentrationserhöhung</t>
  </si>
  <si>
    <t>Grenze tragbar</t>
  </si>
  <si>
    <t>Grenze Kritisch</t>
  </si>
  <si>
    <t>Werte für</t>
  </si>
  <si>
    <t>Anteil ist</t>
  </si>
  <si>
    <t>Anteil tragbar=1</t>
  </si>
  <si>
    <t>Anteil Kritisch</t>
  </si>
  <si>
    <t>Abschätzung der Gewässerbelastung durch Fischzuchtanlagen</t>
  </si>
  <si>
    <t>zusätzliche Auflagen</t>
  </si>
  <si>
    <t>Anlagetyp auswählen :</t>
  </si>
  <si>
    <t>Zuchtart auswählen:</t>
  </si>
  <si>
    <t>Eine P-Fällung wird nur bei Kreislaufanlagen berücksichtigt.</t>
  </si>
  <si>
    <t>7. Resultate und Bewertung</t>
  </si>
  <si>
    <t>Hinweise:</t>
  </si>
  <si>
    <t>(Hochenergiefutter ca. 23.4 MJ/kg)</t>
  </si>
  <si>
    <t>4. Angaben zum Gewässer</t>
  </si>
  <si>
    <t>6. Angaben zur Abwassernachbehandlung</t>
  </si>
  <si>
    <t>Matrix Auflagen</t>
  </si>
  <si>
    <t>(Reserven)</t>
  </si>
  <si>
    <t>Zander Kreislaufanlage</t>
  </si>
  <si>
    <t>Ausfall ca. 10 %</t>
  </si>
  <si>
    <t>Masterarbeit</t>
  </si>
  <si>
    <t>Kreislaufanlage 30 t/a</t>
  </si>
  <si>
    <t>3 t/a</t>
  </si>
  <si>
    <t>10 t/a</t>
  </si>
  <si>
    <t>30 t/a</t>
  </si>
  <si>
    <t>Strom kWh/a</t>
  </si>
  <si>
    <t>Wärme kWh/a</t>
  </si>
  <si>
    <t>scheinbar zu tief! Etwa Faktor 3 höher gemäss Muri</t>
  </si>
  <si>
    <t>Verkaufspreise 2014, Filets, CHF</t>
  </si>
  <si>
    <t>CHF/kg</t>
  </si>
  <si>
    <t>Filetanteil</t>
  </si>
  <si>
    <t>Preise Besatzfische</t>
  </si>
  <si>
    <t>Euro, diverse Quellen bei 1000 Stck Abnahme</t>
  </si>
  <si>
    <t>Mittelwert Euro</t>
  </si>
  <si>
    <t>CHF Mittelwerte</t>
  </si>
  <si>
    <t>Faktor Heizkosten</t>
  </si>
  <si>
    <t>verwendet</t>
  </si>
  <si>
    <t>Bachforelle</t>
  </si>
  <si>
    <t>15-18 cm</t>
  </si>
  <si>
    <t>Regenbogenforelle</t>
  </si>
  <si>
    <t>12-15 cm</t>
  </si>
  <si>
    <t>11-14 cm</t>
  </si>
  <si>
    <t>Arbeitsaufwand h</t>
  </si>
  <si>
    <t>Investitionskosten CHF spezifisch</t>
  </si>
  <si>
    <t>Anlagekosten CHF</t>
  </si>
  <si>
    <t>Kosten CHF pro kg Lebendfisch</t>
  </si>
  <si>
    <t>Abschätzung der Kosten für eine Kreislaufanlage</t>
  </si>
  <si>
    <t>Ihre eigenen Zahlen:</t>
  </si>
  <si>
    <t>Die angezeigten Kosten sind nur ungefähre Abschätzungen, die tatsächlichen Kosten können sehr stark</t>
  </si>
  <si>
    <t>Kontrolle Kreislaufanlage</t>
  </si>
  <si>
    <t>Hier können Sie in den grünen Feldern Ihre eigenen Zahlen eintragen:</t>
  </si>
  <si>
    <t>Produktionsmenge t/a</t>
  </si>
  <si>
    <t>Frischwasser m3/d</t>
  </si>
  <si>
    <t>Besatz Jungfische</t>
  </si>
  <si>
    <t>kontrolle Einträge</t>
  </si>
  <si>
    <t>je Einheit</t>
  </si>
  <si>
    <t>(Einheiten)</t>
  </si>
  <si>
    <t>h</t>
  </si>
  <si>
    <t>h/Jahr</t>
  </si>
  <si>
    <t>Fische:Fütterung, Kontrolle</t>
  </si>
  <si>
    <t>Fische: Diverse Arbeiten</t>
  </si>
  <si>
    <t>Administration, Weiterbildung/Erfa</t>
  </si>
  <si>
    <t>Fische: Abfischen, töten je 400 kg</t>
  </si>
  <si>
    <t>Verarbeitung/Fischtransporte</t>
  </si>
  <si>
    <t>Arbeitsaufwand ca. Stunden/Jahr</t>
  </si>
  <si>
    <t>Abschreibung nach Jahren:</t>
  </si>
  <si>
    <t>CHF</t>
  </si>
  <si>
    <t>% /a</t>
  </si>
  <si>
    <t>CHF/Jahr</t>
  </si>
  <si>
    <t>Gebäudevorbereitung ca. 10% der Anlagekosten</t>
  </si>
  <si>
    <t>Installation und Inbetriebnahme ca. 8% der Anlagekosten</t>
  </si>
  <si>
    <t>Projektvorbereitung, Ausbildung, Bewilligung ca. 5% der Anlagekosten</t>
  </si>
  <si>
    <t>Materialkosten Indooranlage</t>
  </si>
  <si>
    <t>Abschreibung (ohne Verzinsung) CHF/Jahr</t>
  </si>
  <si>
    <t>Anzahl (Einheiten)</t>
  </si>
  <si>
    <t>CHF je Einheit</t>
  </si>
  <si>
    <t>Kosten je Einheit</t>
  </si>
  <si>
    <t>Externe Betreuung und Überwachung</t>
  </si>
  <si>
    <t>Frischwasser m3/a</t>
  </si>
  <si>
    <t>Stromkosten kWh/a</t>
  </si>
  <si>
    <t>Heizkosten kWh/a</t>
  </si>
  <si>
    <t>Versicherungen Brand/Elementarschaden 0.3% der Investitionskosten</t>
  </si>
  <si>
    <t>Laufende Kosten CHF/Jahr</t>
  </si>
  <si>
    <t>Futtermittel (kg Fischzuwachs x 1.2)</t>
  </si>
  <si>
    <t>Produktspezifische Kosten CHF/Jahr</t>
  </si>
  <si>
    <t>Zusammenfassung</t>
  </si>
  <si>
    <t>CHF/a</t>
  </si>
  <si>
    <t>Abschreibung Investitionskosten</t>
  </si>
  <si>
    <t>Produktspez. Kosten</t>
  </si>
  <si>
    <t>Stunden</t>
  </si>
  <si>
    <t>Stundensatz CHF</t>
  </si>
  <si>
    <t>Stundenaufwand/Lohnkosten</t>
  </si>
  <si>
    <t>Total Kosten CHF/a</t>
  </si>
  <si>
    <t>Kosten pro kg Lebendfisch CHF/kg</t>
  </si>
  <si>
    <t>Bei der Kostenabschätzung wurde nicht berücksichtigt:</t>
  </si>
  <si>
    <t xml:space="preserve"> - Anteil gestorbene Fische</t>
  </si>
  <si>
    <t xml:space="preserve"> - Kosten durch Behandlung von Krankheiten</t>
  </si>
  <si>
    <t xml:space="preserve"> - Kosten durch zusätzliche Abwasseraufbereitungsanlagen</t>
  </si>
  <si>
    <t xml:space="preserve"> - alfällige ARA-Gebühren bei Einleitung in eine kommunale Kläranlage</t>
  </si>
  <si>
    <t xml:space="preserve"> - Kosten durch allfällige Behandlung oder externe Entsorgung der Fischgülle</t>
  </si>
  <si>
    <t xml:space="preserve"> - Kosten durch eigene Schlachtung inkl. Abfallentsorgung</t>
  </si>
  <si>
    <t>Wassertemperatur in Kreislaufanlagen</t>
  </si>
  <si>
    <t>für optimalen Zuwachs</t>
  </si>
  <si>
    <t>29 °C</t>
  </si>
  <si>
    <t>24°C</t>
  </si>
  <si>
    <t>Flussbarsch, Egli</t>
  </si>
  <si>
    <t>14-18 °C</t>
  </si>
  <si>
    <t>Japanischer Kirschenlachs</t>
  </si>
  <si>
    <t>Lachs</t>
  </si>
  <si>
    <t>Faktor Wärme</t>
  </si>
  <si>
    <t>Wärme mit Faktor auf 1</t>
  </si>
  <si>
    <t>Würde Zander entsprechen</t>
  </si>
  <si>
    <t xml:space="preserve"> - Kosten Gebäude</t>
  </si>
  <si>
    <t>Deses Blatt funktioniert nur, wenn unter "Fischzuchtanlage" die Kreislaufanlage ausgewählt ist.</t>
  </si>
  <si>
    <t>Konzentrations-erhöhung im Gewässer</t>
  </si>
  <si>
    <t>sonst P-entfernen (=1)</t>
  </si>
  <si>
    <t>Anlage/Auflage Nr.</t>
  </si>
  <si>
    <t>Im Einzugsgebiet der Mittellandseen max. kg P/Jahr, in Absprache mit pa</t>
  </si>
  <si>
    <t>Bei Durchlaufanlagen ist eine Schlammabtrennung oder Nachbehandlung möglich.</t>
  </si>
  <si>
    <t>Nur bei Kreislaufanlagen ist eine Phosphorfällung möglich.</t>
  </si>
  <si>
    <t>Ist bei Durchlauf oder Kreislaufanlagen die Belastung kritisch, weitere Behandlungsmöglichkeiten auschöpfen.</t>
  </si>
  <si>
    <t>Code</t>
  </si>
  <si>
    <t>Bei Kreislaufanlagen oder Teichanlagen ist eine Schlammabtrennung oder Nachbehandlung nicht möglich.</t>
  </si>
  <si>
    <t>Die Codes berücksichtigen den Anlagetyp!</t>
  </si>
  <si>
    <t>berücksichtigt in Code</t>
  </si>
  <si>
    <t>Ist bei Durchlaufanlagen und Kreislaufanlagen die Belastung kritisch und alle Behandlungsmöglichkeiten ausgeschöpft, Faktor für kritisch/ev. zulässig prüfen.</t>
  </si>
  <si>
    <t>Für Beurteilungstexte und Hilfetexte:</t>
  </si>
  <si>
    <t>Schlammentwässerung Umkehrwert, da keine Entwässerung 2 und Entwässerung 1 ist</t>
  </si>
  <si>
    <t>Summe Behandlung</t>
  </si>
  <si>
    <t>Bei Kreislaufanlagen können Sie eine Phosphor-Fällung durchführen.</t>
  </si>
  <si>
    <t>Summe Behandlung (alle=11)</t>
  </si>
  <si>
    <t>Verweis</t>
  </si>
  <si>
    <t>Summe Behandlung &lt;11</t>
  </si>
  <si>
    <t>Die Belastung liegt im kritischen Bereich, bitte mit uwe vor Einreichung des Gesuchs abklären, ob eine Einleitung allenfalls möglich ist.</t>
  </si>
  <si>
    <t>Restwassermenge im Bach unmittelbar vor der Einleitstelle (Q347) l/s</t>
  </si>
  <si>
    <t>Grundlagen für dieses Tool:</t>
  </si>
  <si>
    <t>Anleitung zum Ausfüllen des Blattes Fischzuchtanlage:</t>
  </si>
  <si>
    <t>Das Blatt Fischzuchanlagen ist schreibgeschützt, Sie können nur dort Angaben auswählen oder Daten eintragen, wo es auch nötig ist.</t>
  </si>
  <si>
    <t>Eingabe möglich aber nicht zwingend ist.</t>
  </si>
  <si>
    <t>Das Blatt enthält Felder die zwingend ausgefüllt werden müssen (muss-Felder), Felder bei denen Sie Angaben aus einer Liste auswählen können und Felder wo eine</t>
  </si>
  <si>
    <t>Sie werden darauf hingewiesen, wenn nicht alle muss-Felder ausgefüllt sind.</t>
  </si>
  <si>
    <t>Wenn Sie nicht alle muss-Felder ausfüllen, werden Annahmen getroffen, die eine schlechtere Beurteilung zur Folge haben können.</t>
  </si>
  <si>
    <t>Es kann eine Behandlung des Ablaufwassers mit einem Schönungsteich oder eine Kleinkläranlage nötig sein.</t>
  </si>
  <si>
    <t>Anforderungen aus der Gewässerschutzgesetzgebung:</t>
  </si>
  <si>
    <t>Anforderungen an die Schlammentsorgung:</t>
  </si>
  <si>
    <t>Anforderungen zum Einsatz von Medikamenten und Desinfektionsmitteln</t>
  </si>
  <si>
    <t>Notwendige Bewilligungen:</t>
  </si>
  <si>
    <t>Vorgeschriebene Rückhaltemassnahmen:</t>
  </si>
  <si>
    <t>Anforderung an die Ausbildung Ausbildung:</t>
  </si>
  <si>
    <t xml:space="preserve">Hinweise zu diesem Hilfsmittel: </t>
  </si>
  <si>
    <t>d) keine</t>
  </si>
  <si>
    <t>e) Phosphorfällung</t>
  </si>
  <si>
    <t>Verwendet</t>
  </si>
  <si>
    <t>Erfahrungswerte</t>
  </si>
  <si>
    <t>Die Abwasserableitung darf bei Kreislaufanlagen erst nach der internen Wasseraufbereitung (Biofilter) erfolgen.</t>
  </si>
  <si>
    <t>Zusammenfassende Beurteilung der Abwassereinleitung in den Bach:</t>
  </si>
  <si>
    <t>Zusätzliche Auflagen Verweis Nr.</t>
  </si>
  <si>
    <t>Die eingereichten Angaben und Unterlagen sind verbindlich. Änderungen am Projekt oder Ausführungen, die nicht den eingereichten Unterlagen entsprechen, bedürfen der Zustimmung von uwe.</t>
  </si>
  <si>
    <t>Im Normalbetrieb dürfen keine Medikamente eingesetzt werden. Chemoterapeutische Behandlungen dürfen nur auf Anweisung eines fischkundigen Tierarztes</t>
  </si>
  <si>
    <t>oder dem Zentrum für Fisch- und Wildtiermedizin der Universität Bern erfolgen.</t>
  </si>
  <si>
    <t>Es ist ein Betriebsprotokoll zu führen, worin unter anderem die produzierte Fischmenge, der Verbrauch an Futtermitteln, die anfallenden Schlammmengen und deren Entsorgung etc. festgehalten werden.</t>
  </si>
  <si>
    <t>Störungen und Abweichungen vom Normalbetrieb sind unverzüglich zu beheben und ausserordentliche Ereignisse sind uwe zu melden.</t>
  </si>
  <si>
    <t>Die Weiterverarbeitung (Schlachtung etc.) der Fische ist hier nicht berücksichtigt. Daraus können sich zusätzliche Auflagen ergeben.</t>
  </si>
  <si>
    <t>Die Gewässerbelastung durch das Abwasser der Fischzuchtanlage muss überprüft werden. D.h. im abgeleiteten Abwasser sind regelmässig Analysen durchzuführen (organische Stoffe, Nährstoffe, Gesamt ungelöste Stoffe). Die Details werden in der Bewilligung geregelt.</t>
  </si>
  <si>
    <t>Generelle Auflagen und Bedingungen:</t>
  </si>
  <si>
    <t>Im Blatt Anleitung sind die wichtigsten Auflagen und Bedingungen für eine Bewilligung aufgeführt. Unten finden Sie zusätzliche generelle und projektspezifische Auflagen, die in einer allfälligen Bewilligung zu erwarten sind. Diese sind nicht abschliessend, je nach Situation können weitere hinzukommen.</t>
  </si>
  <si>
    <t>8. Auflagen und Bedingungen</t>
  </si>
  <si>
    <t>In Fischzuchtanlagen darf nur phosphorarmes Futtermittel verwendet werden.</t>
  </si>
  <si>
    <t>Für die Fischzuchtanlage sind verschiedene Bewilligungen notwendig: Fischereirechtliche Bewilligung und Abwassereinleitbewilligung; sowie je nach Situation Wasserentnahmebewilligung</t>
  </si>
  <si>
    <t xml:space="preserve">und Projektgenehmigung für die Abwasservorbehandlung bzw. Nachbehandlung des Abwassers. </t>
  </si>
  <si>
    <t>Es dürfen keinerlei andere Abwässer z.B. aus Reinigung, Desinfektion oder Behandlung mit Medikamenten etc. ins Gewässer eingeleitet werden.</t>
  </si>
  <si>
    <t>Der Schlamm aus Teichanlagen darf nicht in ein Gewässer eingeleitet werden, er ist landwirtschaftlich zu verwerten.</t>
  </si>
  <si>
    <t>Schlachtgewicht kg</t>
  </si>
  <si>
    <t>Produktionsangaben (aus Blatt Fischzucht)</t>
  </si>
  <si>
    <t>Für die Beurteilung ist die maximale Belastung des Gewässers massgebend, daher wird vom maximalen Fischgewicht in der Anlage ausgegangen. Bevor die Fische ihr Schlachtgewicht erreichen, ist die eingesetzte Futtermenge am grössten und somit auch die Belastung des Gewässers. Sie müssen daher bei der Futtermenge die maximal täglich gefütterte Menge beim höchsten Fischbiomassestand in der Anlage eintragen.</t>
  </si>
  <si>
    <t>Für die Beurteilung wird von phosphorreduziertem Hochenergiefutter ausgegangen. Der Energiegehalt des Futters kann in einem gewissen Bereich angepasst werden.</t>
  </si>
  <si>
    <t>Dieses Tool erlaubt daher nur eine Abschätzung der Abwasserbelastung. Durch die Bewertung "kritisch" wird diesem Umstand Rechnung getragen. Dieser Bereich beinhaltet einen grossen Faktor, der die Unsicherheiten auffangen soll.</t>
  </si>
  <si>
    <t>Wenn die Beurteilung kritisch angezeigt wird, können Sie mit verschiedenen zusätzlichen Massnahmen die Gewässerbelastung verringern. Auf der Grafik sehen Sie direkt die Auswirkungen dieser Massnahmen auf die Belastung des Gewässers und bei welchen Parametern die Belastung tragbar, kritisch oder nicht tragbar ist.</t>
  </si>
  <si>
    <t>Die Weiterverarbeitung (Schlachtung etc.) der Fische ist im vorliegenden File nicht berücksichtigt. Die dabei anfallenden Abwässer und Abfälle müssen für die Gesamtbelastung mitgerechnet werden. Die Entsorgung dieser Abwässer und Abfälle hat nach den geltenden gesetzlichen Grundlagen zu erfolgen. Daraus ergeben sich zusätzliche Auflagen.</t>
  </si>
  <si>
    <t>Bei Kreislaufanlagen wird davon ausgegangen, dass die Feststoff- und Biofilter so ausgelegt sind, dass die Feststoffe praktisch vollständig zurückgehalten werden und eine weitestgehende Nitrifikation stattfindet. Die Konzentration an Ammonium-N, DOC und an GUS im Ablaufwasser wird daher mit einem fixen Wert eingesetzt. Der Nitratgehalt wird mit einem Wirkungsgrad der Denitrifikation zwischen 40-45 % berechnet. Der Phosphorgehalt wird ebenfalls berechnet, wobei eine gewisse Reduktion durch den Biofilter einbezogen ist..</t>
  </si>
  <si>
    <t>Im Einzugsgebiet der Mittellandseen kann eine Phosphorfällung notwendig sein, auch wenn durch die Einleitung ein zulässiger Anstieg gemäss MSK erfolgt.</t>
  </si>
  <si>
    <t>Durch die Ablaufwassereinleitung darf sich  die Gewässerqualität höchstens auf die nächste Stufe gemäss dem Modulstufenkonzept des Bundes (MSK) verschlechtern.</t>
  </si>
  <si>
    <t>P-Reduktion:</t>
  </si>
  <si>
    <t>DOC-Abbau für P-Reduktion:</t>
  </si>
  <si>
    <t>Erfahrungswerte Kilchmann</t>
  </si>
  <si>
    <t>Die Abschätzung ist nur für Kreislaufanlagen mit einer Jahresproduktion von 3 bis ca. 30 Tonnen anwendbar.</t>
  </si>
  <si>
    <t>davon abweichen. Es werden keine Garantien oder Haftung übernommen.</t>
  </si>
  <si>
    <t>Die Einleitung des Abwassers ist so eher nicht möglich. Reduzieren Sie die Belastung durch weitergehende Massnahmen (siehe Hinweise).</t>
  </si>
  <si>
    <t xml:space="preserve">Restkonzentration an P bei P-Fällung bei Kreislaufanlagen in mg/l: </t>
  </si>
  <si>
    <t>Abwässer aus  der Reinigung, Desinfektion, Entschlammung, allfällige Schlammpresswässer etc. dürfen nicht in ein Gewässer eingeleitet werden.</t>
  </si>
  <si>
    <t>P-Jahresfrachten aus prod. Fischmenge oder Tagesfracht</t>
  </si>
  <si>
    <t>Die Abschätzung der resultierenden Gewässerbelastung durch das eingeleitete Abwasser beruht auf Angaben aus der Literatur und Erfahrungswerten von bestehenden Anlagen. Die Zahlen beinhalten eine gewisse Bandbreite. Es können, abhängig von der Anlage, dem Futter, den Behandlungsstufen und z.B. bei Kreislaufanlagen der Art und dem Zustand des Biofilters, starke Schwankungen auftreten.</t>
  </si>
  <si>
    <t>Schlämme aus der Entschlammung oder der Schlammabtrennung müssen landwirtschaftlich verwertet werden oder in eine Biogasanlage gebracht werden.</t>
  </si>
  <si>
    <t>5. Abtrennung der Feststoffe</t>
  </si>
  <si>
    <t>Art der Feststoffabtrennung:</t>
  </si>
  <si>
    <t>a) keine Feststoffabtrennung</t>
  </si>
  <si>
    <t>Werden die Feststoffe nicht abgetrennt, erhöht sich die Belastung des Abwassers.</t>
  </si>
  <si>
    <t>Die Feststoffe werden in einem Absetzbecken für den laufenden Betrieb zurückgehalten. Dies reduziert den Gehalt an ungelösten Stoffen (GUS) um etwa 30 % und vermindert die Rücklösung von Kohlenstoff-, Stickstoff- und Phosphorverbindungen.</t>
  </si>
  <si>
    <t>Entwässerung der abgetrennten Feststoffe:</t>
  </si>
  <si>
    <t>Die Feststoffe werden aus dem Zuchtbecken laufend entfernt (Bandfilter, Trommel/Scheibenfilter) und sofort mit einem Lamellenklärer , Filterpresse oder änlichem entwässert.</t>
  </si>
  <si>
    <t>Bei Kreislaufanlagen wird die Feststoffabtrennung und -entwässerung automatisch berücksichtigt !</t>
  </si>
  <si>
    <t>Bei Teichanlagen ist eine Feststoffabtrennung nicht sinnvoll, die Einstellungen haben keinen Einfluss.</t>
  </si>
  <si>
    <t>Eine Entwässerung ist nicht möglich, wenn Sie die Feststoffe nicht mit einem Filter abtrennen!</t>
  </si>
  <si>
    <t>Hier sehen Sie die Auswirkungen, wenn Sie die Feststoffabtrennung und -entwässerung, oder die Nachbehandlung des Abwassers verändern.</t>
  </si>
  <si>
    <t>Schlämme aus der Entschlammung oder der Feststoffabtrennung müssen landwirtschaftlich verwertet werden oder in eine Biogasanlage oder in den Faulturm einer Kläranlage gebracht werden.</t>
  </si>
  <si>
    <t>Das Klarwasser aus der Schlammentwässerung und allfälliges Presswasser muss über den Feststoffilter und den Biofilter geführt werden.</t>
  </si>
  <si>
    <t>Fütterung:</t>
  </si>
  <si>
    <t>Anlagengrösse:</t>
  </si>
  <si>
    <t>Wenn Futtermenge Abweicht muss eine Begründung eingetragen sein</t>
  </si>
  <si>
    <t>Berechnung Wassermenge:</t>
  </si>
  <si>
    <t>Erläuterungen oder Berechnungsresultate</t>
  </si>
  <si>
    <t>Vorbelastung mit DOC</t>
  </si>
  <si>
    <t>Vorbelastung des Bachs, nur ausfüllen wenn bekannt:</t>
  </si>
  <si>
    <t>Das max. Fischgewicht müsste bei Zander oder Tilapia höher sein.</t>
  </si>
  <si>
    <t>Gesamtvolumen aller Fischbecken</t>
  </si>
  <si>
    <t>Zwischenrechnung P Kreislauf</t>
  </si>
  <si>
    <t>Kontrolle Schlammabtrennung (nur bei c+d bei Durchlaufanlagen möglich) falsch=1</t>
  </si>
  <si>
    <t>Schlämme aus der Entschlammung oder der Feststoffabtrennung müssen landwirtschaftlich verwertet werden oder in eine Biogasanlage gebracht werden.</t>
  </si>
  <si>
    <t>Summe Mussfelder (soll 7)</t>
  </si>
  <si>
    <t>Anlagen mit Behältersystemen in denen das Wasser im Kreislauf geführt wird, mit Biofiltern inkl. Denitrifikation zur Wasseraufbereitung. Die Feststoffabtrennung und -Entwässerung wird automatisch berücksichtigt</t>
  </si>
  <si>
    <t>Berechnung freigesetzte Nährstoffe bei Kreislaufanlagen</t>
  </si>
  <si>
    <t>Bei Kreislaufanlagen verbleiben die nicht durch die Filter abgetrennten Feststoffe im System</t>
  </si>
  <si>
    <t>und werden im Biofilter teilweise zurückgehalten. Ebenso wird im Biofilter Bioschlamm produziert. Auch wärend</t>
  </si>
  <si>
    <t>der Sedimentation des abgetrennten Schlamms wird ein Teil des P und N freigesetzt.</t>
  </si>
  <si>
    <t>Hier kann ein Anteil des Schlamms, aus welchem die Nährstoffe freigesetzt werden, bestimmt werden.</t>
  </si>
  <si>
    <t xml:space="preserve">Kohlenstoff, Stickstoff und P werden </t>
  </si>
  <si>
    <t>vom Biofilter verbraucht werden (Aufbau Biomasse, Nitrifikation, Denitrifikation).</t>
  </si>
  <si>
    <t xml:space="preserve">geringer sein. </t>
  </si>
  <si>
    <t>abgezogen, daher keine zusätzliche Freisetzung aus abgetrenntem Schlamm</t>
  </si>
  <si>
    <t>Anteil Feststoffe aus welchem die Nährstoffe freigesetzt werden</t>
  </si>
  <si>
    <t>Im Biofilter wird aus C, N und P Biomasse aufgebaut, das Verhältnis ist etwa 105:15:1. Der maximale P-Verbrauch beträgt somit ca. 4.8 % des in Biomasse umgewandelten C.</t>
  </si>
  <si>
    <t>Ein Teil des C wird für die Denitrifikation benötigt und es ist davon auszugehen, dass ein Teil der Biomasse wieder mineralisiert wird.</t>
  </si>
  <si>
    <t>Anteil P-Reduktion (gelöst) pro DOC-Abbau geschätzt:</t>
  </si>
  <si>
    <t>* es wird davon ausgegangen, dass C+N im Biofilter verbraucht  werden</t>
  </si>
  <si>
    <t>Dadurch wird sicher wieder ein Teil freigesetzt</t>
  </si>
  <si>
    <t>inkl. Vorbelastung</t>
  </si>
  <si>
    <t>Auswahlliste Seeeinzugsgebiete</t>
  </si>
  <si>
    <t>im Einzugsgebiet des Sempachersees</t>
  </si>
  <si>
    <t>max P-Jahrefracht kg/a</t>
  </si>
  <si>
    <t>Seeeinzugsgebiet:</t>
  </si>
  <si>
    <t>Test Auswahl</t>
  </si>
  <si>
    <t>ist eine P-Fällung nötig ab kg/Jahr:</t>
  </si>
  <si>
    <t>Voraussichtlich ist eine Phosphorfällung notwendig</t>
  </si>
  <si>
    <t>im Einzugsgebiet des Baldegger- oder Hallwilersees</t>
  </si>
  <si>
    <t>Achtung, wenn eine Vorbelastung des Bachs eingetragen wurde, gelangt diese Vorbelastung ebenfalls</t>
  </si>
  <si>
    <t>in die Anlage und zurück in den Bach und muss somit dazugezähl werden</t>
  </si>
  <si>
    <t>ungefähre Konzentration im Gewässer</t>
  </si>
  <si>
    <t>ungefähre Zusatz-belastung des Ablaufwassers:</t>
  </si>
  <si>
    <t>Verkaufspreis ca. CHF/kg</t>
  </si>
  <si>
    <t>Werden die Feststoffe nicht abgetrennt und entwässert, erfolgt eine Rücklösung von Stoffen welche das Abwasser zusätzlich belasten. Es werden 30% bis 40% der Stoffe wieder freigesetzt.</t>
  </si>
  <si>
    <t>Futtermittel Zander</t>
  </si>
  <si>
    <t>Kosten gemäss Swifish</t>
  </si>
  <si>
    <t>Besatz Zander</t>
  </si>
  <si>
    <t>CHF/Stck</t>
  </si>
  <si>
    <t>Betsandstierarzt</t>
  </si>
  <si>
    <t>Schulung/Kurs</t>
  </si>
  <si>
    <t>Verkaufspreis Zanderfilet</t>
  </si>
  <si>
    <t>CHF/kg, Migros 2016</t>
  </si>
  <si>
    <t>Vortrag Parsini</t>
  </si>
  <si>
    <t>Kreislaufanlage 10 t/a</t>
  </si>
  <si>
    <t>Produktion t/a</t>
  </si>
  <si>
    <t>Euro</t>
  </si>
  <si>
    <t>Investitionskosten Ausgleichsrechnung:</t>
  </si>
  <si>
    <t>Preise Akvagroup, eher Luxusanlagen</t>
  </si>
  <si>
    <t>angepasst, billiger</t>
  </si>
  <si>
    <t>etwa mal 2</t>
  </si>
  <si>
    <t>Summe Mussfelder (soll 8)</t>
  </si>
  <si>
    <t>Summe Mussfelder total, soll 18</t>
  </si>
  <si>
    <r>
      <t xml:space="preserve">kg/Tag bei Hochenergiefutter </t>
    </r>
    <r>
      <rPr>
        <sz val="10"/>
        <color rgb="FFFF0000"/>
        <rFont val="Arial"/>
        <family val="2"/>
      </rPr>
      <t>a)</t>
    </r>
  </si>
  <si>
    <t>Energieinhalt in MJ/kg*-0.074+2.71 ergibt die nötige Fütterungsmenge in % des Fischgewichtes</t>
  </si>
  <si>
    <t>Achtung: Die P-Fällung bei Kreislaufanlagen wird auf einen Restgehalt begrenzt.</t>
  </si>
  <si>
    <t>Übersetzungstabelle</t>
  </si>
  <si>
    <t>Diese Texte können verändert werden und sind dann direkt wirksamen</t>
  </si>
  <si>
    <t>Feld</t>
  </si>
  <si>
    <t>DE</t>
  </si>
  <si>
    <t>FR</t>
  </si>
  <si>
    <t>IT</t>
  </si>
  <si>
    <t>Blatt Fischzuchtanlage</t>
  </si>
  <si>
    <t>Titel</t>
  </si>
  <si>
    <t>Estimation des charges dans les eaux de pisciculture</t>
  </si>
  <si>
    <t>Adresse</t>
  </si>
  <si>
    <t>Name</t>
  </si>
  <si>
    <t>Nom:</t>
  </si>
  <si>
    <t>Strasse</t>
  </si>
  <si>
    <t>Rue:</t>
  </si>
  <si>
    <t>PLZ</t>
  </si>
  <si>
    <t>NPA:</t>
  </si>
  <si>
    <t>Ort</t>
  </si>
  <si>
    <t>Ville:</t>
  </si>
  <si>
    <t>Tel</t>
  </si>
  <si>
    <t>Tel:</t>
  </si>
  <si>
    <t>Natel</t>
  </si>
  <si>
    <t>Tel. Portable:</t>
  </si>
  <si>
    <t>Standort</t>
  </si>
  <si>
    <t>Site de l'entreprise:</t>
  </si>
  <si>
    <t>Seeeinzugsgebiet</t>
  </si>
  <si>
    <t>Milieu récepteur:</t>
  </si>
  <si>
    <t>Legende</t>
  </si>
  <si>
    <t>ce champ peut être remplis</t>
  </si>
  <si>
    <t>explications ou résultats de calculs</t>
  </si>
  <si>
    <t>conditions supplémentaires</t>
  </si>
  <si>
    <t>Indications/précisions</t>
  </si>
  <si>
    <t>Vous devez encore remplir les champs obligatoires</t>
  </si>
  <si>
    <t>Angaben zur Anlage, Blatt Fischzucht</t>
  </si>
  <si>
    <t>Titel Angaben zur Anlage</t>
  </si>
  <si>
    <t>Type d'installation :</t>
  </si>
  <si>
    <t>Auf Blatt Grundlagen</t>
  </si>
  <si>
    <t>Auswahlliste Anlagetypen</t>
  </si>
  <si>
    <t>a) circuit ouvert</t>
  </si>
  <si>
    <t>c) circuit fermé</t>
  </si>
  <si>
    <t>Pour les installations en circuit ouvert (à flux traversant) et en étang, il est nécessaire de mettre en place des mesures afin d'empêcher la fuite des animaux élevés. Les indications ainsi que les plans sont à déposer avec une demande.</t>
  </si>
  <si>
    <t>Auf Blatt Fischzucht</t>
  </si>
  <si>
    <t>Commercial</t>
  </si>
  <si>
    <t>Elevage pour consommation personnelle</t>
  </si>
  <si>
    <t>Blatt Fischzucht, Angaben zur Fischzucht</t>
  </si>
  <si>
    <t>Text Titel</t>
  </si>
  <si>
    <t>3. Informations sur la pisciculture</t>
  </si>
  <si>
    <t>Espèce élevée (par ex. truite, sandre, saumon, etc.)</t>
  </si>
  <si>
    <t>Nombre de poissons max. dans la pisciculture</t>
  </si>
  <si>
    <t>Quantité de poisson max. dans la pisciculture</t>
  </si>
  <si>
    <t>Capacité max. en kg de poisson de la pisciculture</t>
  </si>
  <si>
    <t>Hinweistext graues Feld</t>
  </si>
  <si>
    <t>Teil Fütterung, Titel</t>
  </si>
  <si>
    <t>Alimentation :</t>
  </si>
  <si>
    <t>Taux d'énergie de l'aliment utilisé</t>
  </si>
  <si>
    <t>Einheit kg/Tag</t>
  </si>
  <si>
    <t>kg/jour</t>
  </si>
  <si>
    <t>theor. Futtermenge</t>
  </si>
  <si>
    <t>theoretisch notwendige Futtermenge</t>
  </si>
  <si>
    <t>Quantité d'aliment théoriquement nécessaire</t>
  </si>
  <si>
    <t>Text vor Bemerkungsfeld</t>
  </si>
  <si>
    <t>graues Erläuterungsfeld</t>
  </si>
  <si>
    <t>Es ist die voraussichtliche maximale Belastung des Gewässers massgebend, daher muss die maximale Futtermenge eingetragen werden. Den geringeren Futtergaben während der Aufzuchtphase und den Ungenauigkeiten dieser Abschätzung, wird durch die Klasse 'kritisch' Rechnung getragen.</t>
  </si>
  <si>
    <t>Anlagengrösse</t>
  </si>
  <si>
    <t>Volume total des bassins d'élevage</t>
  </si>
  <si>
    <t>Densité d'élevage en kg/m3</t>
  </si>
  <si>
    <t>Volume total de tous les bassins existants</t>
  </si>
  <si>
    <t>Débit de la pisciculture</t>
  </si>
  <si>
    <t>m3/jour</t>
  </si>
  <si>
    <t>l/seconde</t>
  </si>
  <si>
    <t>Calcul du débit:</t>
  </si>
  <si>
    <t>entweder l/min</t>
  </si>
  <si>
    <t>soit en l/min</t>
  </si>
  <si>
    <t>oder l/s</t>
  </si>
  <si>
    <t>soit en l/s</t>
  </si>
  <si>
    <t xml:space="preserve"> m3/Tag</t>
  </si>
  <si>
    <t>Teil 4</t>
  </si>
  <si>
    <t>4. Données sur la source d'eau</t>
  </si>
  <si>
    <t>Nom de la source, du cours d'eau ou du lac</t>
  </si>
  <si>
    <t>Débit résiduel dans le cours d'eau juste avant le déversement (Q347) l/s</t>
  </si>
  <si>
    <t>Comment le débit du cours d'eau a été calculé (Estimé/Mesuré)</t>
  </si>
  <si>
    <t>Tabelle Gewässerbelastung</t>
  </si>
  <si>
    <t>Auswahlfeld, Liste Qwasser</t>
  </si>
  <si>
    <t>estimé</t>
  </si>
  <si>
    <t>mesuré</t>
  </si>
  <si>
    <t>Tabelle Fischzuchtanlage</t>
  </si>
  <si>
    <t>Hinweisfeld</t>
  </si>
  <si>
    <t>Abschnitttitel</t>
  </si>
  <si>
    <t>Tabellenüberschrift</t>
  </si>
  <si>
    <t>Classification *</t>
  </si>
  <si>
    <t>Überschrift Vorbelastung DOC</t>
  </si>
  <si>
    <t>Charge avec COD</t>
  </si>
  <si>
    <t>Tabellenblatt Gewässerbelastung</t>
  </si>
  <si>
    <t>Auswahlfeld DOC: Liste DOCVorbel</t>
  </si>
  <si>
    <t>faible</t>
  </si>
  <si>
    <t>élevé</t>
  </si>
  <si>
    <t>Tabellenblatt Fischzuchtanlage</t>
  </si>
  <si>
    <t>Tabelle Vorbelastung Bach</t>
  </si>
  <si>
    <t>Type d'analyse (ponctuel, continu)</t>
  </si>
  <si>
    <t>Klassierung der Gewässerqualität gemäss Modulstufenkonzept des BAFU</t>
  </si>
  <si>
    <t>classification de la qualité des eaux selon le système modulaire gradué de l'OFEV</t>
  </si>
  <si>
    <t>Abschnitt 5. Titel</t>
  </si>
  <si>
    <t>Zeilentitel</t>
  </si>
  <si>
    <t>Tabellenblatt Grundlagen</t>
  </si>
  <si>
    <t>Auswahlfeld Liste Schlamm</t>
  </si>
  <si>
    <t>Typ und Erläuterungstext</t>
  </si>
  <si>
    <t>Si les MES ne sont pas filtrées, la charge des eaux de rejet augmente fortement</t>
  </si>
  <si>
    <t>b) bassin de décantation séparé</t>
  </si>
  <si>
    <t>c) filtre à bande</t>
  </si>
  <si>
    <t>d) filtre à tambour / à disque</t>
  </si>
  <si>
    <t>Das Ablaufwasser fliesst durch eine rotierende, mit Filtergaze bespannte Trommel oder Siebscheiben ab (Maschenweite 60 bis 100 Mikrometer). Dies reduziert den Gehalt an ungelösten Stoffen (GUS) um etwa 60 % und vermindert die Rücklösung von Kohlenstoff-, Stickstoff- und Phosphorverbindungen</t>
  </si>
  <si>
    <t>Titel Zeile</t>
  </si>
  <si>
    <t>Auswahlliste Entwässerung</t>
  </si>
  <si>
    <t>a) décanteur lamellaire, filtre presse ou similaire</t>
  </si>
  <si>
    <t>Les boues sont éloignées en permanence des bassins d'élevage</t>
  </si>
  <si>
    <t>b) pas de deshydratation immédiate</t>
  </si>
  <si>
    <t>Hinweisfelder</t>
  </si>
  <si>
    <t>Text neben Grafik</t>
  </si>
  <si>
    <t>Grafiküberschriften und Beschriftungen</t>
  </si>
  <si>
    <t>Titel 6.</t>
  </si>
  <si>
    <t>6. Indications sur les effluents après traitement</t>
  </si>
  <si>
    <t>Tabelle, Zeilenbeschriftung</t>
  </si>
  <si>
    <t>Tab. Grundlagen</t>
  </si>
  <si>
    <t>Auswahlfeld P Liste PhosphorF, Tab Grundlagen</t>
  </si>
  <si>
    <t>d) aucun</t>
  </si>
  <si>
    <t>Text dazu</t>
  </si>
  <si>
    <t>Une déphosphatation est envisagée seulement dans un circuit fermé</t>
  </si>
  <si>
    <t>Bei Kreislaufanlagen  kann eine Phosphor-Fällung notwendig sein, insbesondere im Einzugesgebiet der Mittellandseen.</t>
  </si>
  <si>
    <t>Text unter Liste</t>
  </si>
  <si>
    <t>Auswahl Nachbehandlung</t>
  </si>
  <si>
    <t>Liste Vorbeh, Tab. Grundlagen</t>
  </si>
  <si>
    <t>a) aucun</t>
  </si>
  <si>
    <t>Une filtration des eaux peut réduire les charges (sauf dans les étangs)</t>
  </si>
  <si>
    <t>b) bassin de décantation</t>
  </si>
  <si>
    <t>c) petite station d'épuration (station d'épuration végétale ou filtration biologique)</t>
  </si>
  <si>
    <t>Mit einer Kleinkläranlage können Ammonium und GUS um etwa 80% bis 90% reduziert werden, CSB und DOC um etwa 60% und die übrigen gelösten Stoffe um etwa 1/3. (Hydraulische Belastung bei Pfanzenkläranlagen maximal 7 m3/Tag und m2).</t>
  </si>
  <si>
    <t>Avec une petite station d'épuration les charges en ammonium et en MES peuvent être réduites de 80 à 90%, les charges en DCO et COD de 60% et les autres matières dissoutes peuvent aussi être réduites d'env. 1/3</t>
  </si>
  <si>
    <t>Titel7</t>
  </si>
  <si>
    <t>7. Résutats et évaluation</t>
  </si>
  <si>
    <t>Hilfetexte</t>
  </si>
  <si>
    <t>Beschriftung: Parameter in Tab Grundlagen AI 123</t>
  </si>
  <si>
    <t>Paramètres</t>
  </si>
  <si>
    <t>ab AI 123</t>
  </si>
  <si>
    <t>N tot</t>
  </si>
  <si>
    <t>P dissous</t>
  </si>
  <si>
    <t>P tot</t>
  </si>
  <si>
    <t>DCO</t>
  </si>
  <si>
    <t>MES</t>
  </si>
  <si>
    <t>COD</t>
  </si>
  <si>
    <t>Spaltenüberschriften</t>
  </si>
  <si>
    <t>augmentation des concentrations dans les eaux de surface</t>
  </si>
  <si>
    <t>concentrations aproximatives dans les eaux</t>
  </si>
  <si>
    <t>classification *</t>
  </si>
  <si>
    <t>évalutation</t>
  </si>
  <si>
    <t>Bei Feld GUS</t>
  </si>
  <si>
    <t>Charge en P selon la biomasse maximale en poisson dans la pisiculture</t>
  </si>
  <si>
    <t>P dissous g/j</t>
  </si>
  <si>
    <t>P tot g/j</t>
  </si>
  <si>
    <t>Textfeld grau</t>
  </si>
  <si>
    <t>Vous n'avez pas remplis tous les champs obligatoires ce qui peut amener à une mauvaise évaluation. Remplissez tous les champs obligatoires !</t>
  </si>
  <si>
    <t>Verweise aus Tab Gewässerbelastung</t>
  </si>
  <si>
    <t>grauer Block B64-B68</t>
  </si>
  <si>
    <t>ab B64</t>
  </si>
  <si>
    <t>und Beurteilungstext</t>
  </si>
  <si>
    <t>Ab A58</t>
  </si>
  <si>
    <t>Titel Beurteilung (rosa Feld)</t>
  </si>
  <si>
    <t>Titel 8</t>
  </si>
  <si>
    <t>8. Obligations et conditions</t>
  </si>
  <si>
    <t>Text unter Titel</t>
  </si>
  <si>
    <t>Titel vor Auflagen</t>
  </si>
  <si>
    <t>Auflagenblock</t>
  </si>
  <si>
    <t>Les charges des eaux en sortie de pisciculture doivent être controlées. Des analyses doivent régulièrement être effectuées (matières organiques, substances nutritives, MES). Les détails sont fixés dans l'autorisation</t>
  </si>
  <si>
    <t>La transformation du poisson (abattage etc.) n'est pas pris en compte ici. D'autres conditions suplémentaires peuvent être demandées.</t>
  </si>
  <si>
    <t>Titel spez. Auflagen</t>
  </si>
  <si>
    <t>in Liste Zusatzauflagen</t>
  </si>
  <si>
    <t>Spalte 1</t>
  </si>
  <si>
    <t>Spalte 2</t>
  </si>
  <si>
    <t>Aucune autres eaux polluées telles que les eaux de nettoyage, de traitement ou de désinfection ne doivent être déversées avec les eaux de rejet.</t>
  </si>
  <si>
    <t>Reserve</t>
  </si>
  <si>
    <t>Spalte 3</t>
  </si>
  <si>
    <t>Spalte 4</t>
  </si>
  <si>
    <t>b) étang</t>
  </si>
  <si>
    <t>Im Einzugsgebiet der Mittelllandseen muss eine Phosphorfällung durchgeführt werden.</t>
  </si>
  <si>
    <t>Sprachen</t>
  </si>
  <si>
    <t>1. Adresse:</t>
  </si>
  <si>
    <t>Auswahl Seeeinzugsgebiet</t>
  </si>
  <si>
    <t>Liste EZSee, Blatt Grundlagen ab R240</t>
  </si>
  <si>
    <t>Index</t>
  </si>
  <si>
    <t>2. Information sur la pisciculture</t>
  </si>
  <si>
    <t>Maximale eingesetzte Futtermenge pro Tag</t>
  </si>
  <si>
    <t>mindesten 10 % des Volumens</t>
  </si>
  <si>
    <t>Beurteilungsstufen Modulstufenkonzept</t>
  </si>
  <si>
    <t>très bon</t>
  </si>
  <si>
    <t>bon</t>
  </si>
  <si>
    <t>moyen</t>
  </si>
  <si>
    <t>médiocre</t>
  </si>
  <si>
    <t>mauvais</t>
  </si>
  <si>
    <t>Parameterbeschriftungen</t>
  </si>
  <si>
    <t>P tot.</t>
  </si>
  <si>
    <t>Grafiktitel:</t>
  </si>
  <si>
    <t>Abweichung von der zulässigen Belastung
unterhalb Grün: voraussichtlich tragbar
über Rot: nicht tragbar
Balkenüberschrift: Überschreitungsfaktor</t>
  </si>
  <si>
    <t>théoriquement acceptable</t>
  </si>
  <si>
    <t>critique</t>
  </si>
  <si>
    <t>pas acceptable</t>
  </si>
  <si>
    <t>Index See</t>
  </si>
  <si>
    <t>Index Anlagetyp</t>
  </si>
  <si>
    <t>Index Zuchtart</t>
  </si>
  <si>
    <t>diese Felder haben eine Auswahlliste</t>
  </si>
  <si>
    <t>Hinweis unter Legend, leer</t>
  </si>
  <si>
    <t>Index Wassermenge</t>
  </si>
  <si>
    <t>Index DOC</t>
  </si>
  <si>
    <t>nicht im Einzugsgebiet der Mittellandseen des Kantons LU</t>
  </si>
  <si>
    <t>Index Schlamm</t>
  </si>
  <si>
    <t>Index Entwaesserung</t>
  </si>
  <si>
    <t>Index P-Fällung</t>
  </si>
  <si>
    <t>Index Nachbehandlung</t>
  </si>
  <si>
    <t>trop mauvais</t>
  </si>
  <si>
    <t>Spezifische Auflagen und Bedingungen:</t>
  </si>
  <si>
    <t>Obligations et conditions spéciales:</t>
  </si>
  <si>
    <t>Ici, vous pouvez observer les effets lorsque vous changez les systèmes de filtration mécanique (MES) ou biologique</t>
  </si>
  <si>
    <t>5. Filtration des MES (Matières en suspension)</t>
  </si>
  <si>
    <t>Attention, la déphosphatation en circuit fermé est limitée par un taux résiduel</t>
  </si>
  <si>
    <t>Type de production:</t>
  </si>
  <si>
    <t>Dimensionnement de la pisciculture:</t>
  </si>
  <si>
    <t>Charges du cours d'eau, à remplir uniquement si connu:</t>
  </si>
  <si>
    <t>COD (carbone organique dissous)</t>
  </si>
  <si>
    <t>NO3-N (Nitrate-N)</t>
  </si>
  <si>
    <t>Type de filtration:</t>
  </si>
  <si>
    <t xml:space="preserve">Wenn die eingesetzte Futtermenge von der theoretischen Menge abweicht, bitte begründen: </t>
  </si>
  <si>
    <t xml:space="preserve">Si la quantité d'aliment utilisé s'écarte de la quantité théorique, essayez svp d'expliquer pourquoi: </t>
  </si>
  <si>
    <t>valeur limite 20 mg/l</t>
  </si>
  <si>
    <t>Légende</t>
  </si>
  <si>
    <t>Pas dans le bassin versant des lacs du canton de LU</t>
  </si>
  <si>
    <t>Dans le bassin-versant du lac Baldeggersee ou Hallwilersee</t>
  </si>
  <si>
    <t>Dans le bassin-versant du lac Sempachersee</t>
  </si>
  <si>
    <t>Une déphosphatation est nécessaire à partir de (en kg/an) :</t>
  </si>
  <si>
    <t>Installation avec un écoulement d'eau continue (bassins en série, à la chaine ou à flux traversant).</t>
  </si>
  <si>
    <t>Eau stagnante, ne s'écoulant pas forcément.</t>
  </si>
  <si>
    <t>Système où l'eau est recirculée dans les bassins d'élevage après avoir été traitée (filtre biologique et mécanique). La séparation et l'évacuation des MES est automatiquement pris en compte.</t>
  </si>
  <si>
    <t>Pour les installations en circuit ouvert (à flux traversant) et en étang, il est necessaire de mettre en place des mesures afin d'empêcher la fuite des animaux élevés. Les indications ainsi que les plans sont à déposer avec une demande.</t>
  </si>
  <si>
    <t>Les exploitants de piscicultures de type commercial doivent avoir suivis ou suivre des cours de formation spécifique.</t>
  </si>
  <si>
    <t>Nombre</t>
  </si>
  <si>
    <t>La capacité max. doit être plus élevée pour les élevages de sandre et de tilapia.</t>
  </si>
  <si>
    <t>(Aliment à haute énergie contient environ 23.4 MJ/kg)</t>
  </si>
  <si>
    <t>Quantité d'aliment max. par jour</t>
  </si>
  <si>
    <t>La charge max. probable des eaux de rejets est détermiée par la quantité d'aliment. La quantité d'aliment distribué durant les différentes phases d'élevage ainsi que l'inexactitude des estimations sont prises en comptre dans la classe 'critique'</t>
  </si>
  <si>
    <t>Au moins 10 % du volume</t>
  </si>
  <si>
    <t>NH4-N (Ammonium-N)</t>
  </si>
  <si>
    <t>P dissous (Phosphore dissous)</t>
  </si>
  <si>
    <t>P tot. (Phosphore total)</t>
  </si>
  <si>
    <t>a) pas de filtration des MES</t>
  </si>
  <si>
    <t>Les matières solides sont retenues dans le décanteur avec un écoulement continu. Cela réduit la charge des matières non dissoutes d'env. 30% et diminue le relargage des composés carbonés, azotés et phosphorés.</t>
  </si>
  <si>
    <t>Filtre à bande : tamis en bande circulaire (taille des mailles de 60 à 100 micromètres). Ce filtre réduit la teneur des matières non dissoutes (MES) d'env. 50% et diminue le retour de charge des composés carbonés, azotés et phosphorés.</t>
  </si>
  <si>
    <t>Les eaux de rejets s'écoulent à travers un système rotatif : tambour munis d'une membrane filtrante ou d'un tamis (taille des mailles de 60 à 100 micromètres). Ce filtre réduit la teneur des matières non dissoutes (MES) d'env. 60% et diminue le retour de charge des composés carbonés, azotés et phosphorés.</t>
  </si>
  <si>
    <t>Evacuation des boues :</t>
  </si>
  <si>
    <t>Si les MES ne sont pas filtrées et évacuées, un retour de charges s'effectue dans les eaux de rejet. De 30 jusqu'à 40% de la charge en MES peuvent être restitués.</t>
  </si>
  <si>
    <t>Une évacuation des boues n'est pas possible lorsqu'il n'y as pas de filtration pour les MES.</t>
  </si>
  <si>
    <t>Dans un circuit fermé, la filtration des MES et l'évacuation des boues sont automatiquement pris en compte.</t>
  </si>
  <si>
    <t>Dans une pisciculture d'étang, une filtration des MES n'est pas réalisable car cela n'a pas d'influence.</t>
  </si>
  <si>
    <t xml:space="preserve">Situation selon les charges autorisées
en vert  : acceptable
en rouge : pas acceptable
en titre : cause du dépassement
</t>
  </si>
  <si>
    <t>Déphosphatation dans un système recirculé</t>
  </si>
  <si>
    <t>e) déphosphatation</t>
  </si>
  <si>
    <t>Dans les systèmes en eau recirculée, une déphosphatation n'est pas nécessaire, notamment dans le bassin versant des lacs de LU</t>
  </si>
  <si>
    <t>Type de traitement complémentaire</t>
  </si>
  <si>
    <t>Avec un bassin de décantation, la charge des matières en suspension (MES) peut être réduite de 2/3 et la charge des matières dissoutes de 1/3.</t>
  </si>
  <si>
    <t>Classification conforme à la qualtié des eaux du système modulaire gradué de l'OFEV</t>
  </si>
  <si>
    <t>charges suplémentaires aproximatives dans les eaux en sortie de la pisciculture</t>
  </si>
  <si>
    <t>Une déphosphatation est probablement nécessaire</t>
  </si>
  <si>
    <t>Précisions :</t>
  </si>
  <si>
    <t>Vous pouvez optimiser l'élimination des boues, l'effet croit de a) à d) (point 4).</t>
  </si>
  <si>
    <t>Séparez les boues avec un décanteur lamellaire ou similaire (point 4).</t>
  </si>
  <si>
    <t>Pour les systèmes en circuit fermé, vous pouvez effectuer une déphosphatation.</t>
  </si>
  <si>
    <t>Vous pouvez effectuer un traitement complémentaire des eaux, l'effet croit de a) à c).</t>
  </si>
  <si>
    <t>Le déversement des eaux de la pisciculture dans les milieux aquatiques est probablement possible.</t>
  </si>
  <si>
    <t>Le déversement des eaux de la pisciculture n'est probablement pas possible. Réduisez les charges en mettant en place les mesures nécessaires (selon les instructions).</t>
  </si>
  <si>
    <t>Les charges sont élevées et critiques. Veuillez présenter le projet au Service de l'environnement afin de savoir si la création d'une pisciculture est possible.</t>
  </si>
  <si>
    <t>Le déversement des eaux de pisciculture est impossible.</t>
  </si>
  <si>
    <t>Résumé de l'évaluation du déversement des rejets dans le cours d'eau :</t>
  </si>
  <si>
    <t>La feuille d'instruction mentionne les obligations et les conditions générales les plus importantes. Vous trouverez ci-dessous des conditions générales supplémentaires et spécifiques au projet d'une éventuelle demande d'autorisation. Ceci n'est pas exaustif, d'autres conditions peuvent être ajoutées ou modifiées.</t>
  </si>
  <si>
    <t>Obligations et conditions générales :</t>
  </si>
  <si>
    <t>Les indications et documents présentés sont obligatoires. Des modifications du projet ou de la réalisation qui ne correspondent pas aux indications présentées nécessitent le consentement du Service de l'environnement.</t>
  </si>
  <si>
    <t>En pisciculture, seuls les aliments pauvres en phophore peuvent être utilisés.</t>
  </si>
  <si>
    <t>Les boues ou les MES de pisciculture doivent être utilisées à l'épandage agricole, être amenées dans une installation de biogaz ou dans un digesteur d'une station d'épuration.</t>
  </si>
  <si>
    <t>Il y a un procès-verbal de l'exploitation à tenir dans lequel il faut retranscrire les données de production telles que la quantité de poisson produite, la consommation d'aliment, la quantité de boues et leurs éliminations.</t>
  </si>
  <si>
    <t>Les dysfonctionnements et écarts de l'activité normale de l'exploitation doivent immédiatement être remédiés et signalés au Service de l'environnement.</t>
  </si>
  <si>
    <t>Les boues doivent être utilisées pour l'épandage agricole ou pour la production de biogaz.</t>
  </si>
  <si>
    <t>Les boues de pisciculture d'étang ne doivent pas être déversées dans les eaux de surface, elles doivent être utilisées en agriculture.</t>
  </si>
  <si>
    <t>Dans le bassin-versant des lacs de LU, une déphosphatation est nécessaire.</t>
  </si>
  <si>
    <t>Les eaux de dérivation du circuit fermé doivent d'abord passer à travers les filtres de la pisciculture (Biofiltre) avant d'être rejetées.</t>
  </si>
  <si>
    <t>L'eau clair provenant de la filtration des MES et d'éventuels filtres presse doit être redirigée aux filtres mécaniques et biologiques.</t>
  </si>
  <si>
    <t>ce champ doit être complété</t>
  </si>
  <si>
    <t>ce champ est une liste à choix</t>
  </si>
  <si>
    <t>Vérifiez si un déversement dans un cours d'eau qui possède un débit plus important est possible.</t>
  </si>
  <si>
    <t>Stand 06.04.2018</t>
  </si>
  <si>
    <t>Danksagung:</t>
  </si>
  <si>
    <t>Lucie Fauquet</t>
  </si>
  <si>
    <t xml:space="preserve">  </t>
  </si>
  <si>
    <t>Département de la mobilité, du territoire et de l’environnement</t>
  </si>
  <si>
    <t>Service de l’environnement</t>
  </si>
  <si>
    <t>Section protection des eaux</t>
  </si>
  <si>
    <t>Rue des Creusets 5</t>
  </si>
  <si>
    <t>CH – 1951 Sion</t>
  </si>
  <si>
    <t>Tél 1 : </t>
  </si>
  <si>
    <t>027 606 31 49</t>
  </si>
  <si>
    <t>Fax : </t>
  </si>
  <si>
    <t>027 606 00 00</t>
  </si>
  <si>
    <t>email : </t>
  </si>
  <si>
    <t>lucie.fauquet@admin.vs.ch</t>
  </si>
  <si>
    <t>Daniel Obrist</t>
  </si>
  <si>
    <t>Departement für Mobilität, Raumentwicklung und Umwelt</t>
  </si>
  <si>
    <t>Dienststelle für Umwelt</t>
  </si>
  <si>
    <t>Sektion Gewässer</t>
  </si>
  <si>
    <t>CH – 1950 Sion</t>
  </si>
  <si>
    <t>daniel.obrist@admin.vs.ch</t>
  </si>
  <si>
    <t>Fax:</t>
  </si>
  <si>
    <t>027 606 31 38</t>
  </si>
  <si>
    <t>027 606 31 54</t>
  </si>
  <si>
    <t xml:space="preserve">Die Übersetzung ins Französische wurde durch Frau Lucie Fauquet und Herr Daniel Obrist von der Dienststelle Umwelt des Kanton Wallis vorgenommen, vielen Dank dafür. </t>
  </si>
  <si>
    <t>lukas.grauwiler@lu.ch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</si>
</sst>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38" x14ac:knownFonts="1">
    <font>
      <sz val="10"/>
      <color theme="1"/>
      <name val="Arial"/>
      <family val="2"/>
    </font>
    <font>
      <b/>
      <sz val="10"/>
      <color theme="1"/>
      <name val="Arial"/>
      <family val="2"/>
    </font>
    <font>
      <b/>
      <sz val="14"/>
      <name val="Arial"/>
      <family val="2"/>
    </font>
    <font>
      <sz val="10"/>
      <name val="Arial"/>
      <family val="2"/>
    </font>
    <font>
      <b/>
      <sz val="10"/>
      <name val="Arial"/>
      <family val="2"/>
    </font>
    <font>
      <b/>
      <sz val="12"/>
      <name val="Arial"/>
      <family val="2"/>
    </font>
    <font>
      <sz val="10"/>
      <color theme="0" tint="-0.249977111117893"/>
      <name val="Arial"/>
      <family val="2"/>
    </font>
    <font>
      <b/>
      <sz val="11"/>
      <name val="Arial"/>
      <family val="2"/>
    </font>
    <font>
      <sz val="9"/>
      <name val="Arial"/>
      <family val="2"/>
    </font>
    <font>
      <vertAlign val="subscript"/>
      <sz val="10"/>
      <name val="Arial"/>
      <family val="2"/>
    </font>
    <font>
      <sz val="11"/>
      <name val="Arial"/>
      <family val="2"/>
    </font>
    <font>
      <b/>
      <sz val="11"/>
      <color theme="1"/>
      <name val="Arial"/>
      <family val="2"/>
    </font>
    <font>
      <b/>
      <sz val="10"/>
      <color theme="5" tint="-0.249977111117893"/>
      <name val="Arial"/>
      <family val="2"/>
    </font>
    <font>
      <b/>
      <u/>
      <sz val="10"/>
      <name val="Arial"/>
      <family val="2"/>
    </font>
    <font>
      <sz val="10"/>
      <color theme="5" tint="-0.249977111117893"/>
      <name val="Arial"/>
      <family val="2"/>
    </font>
    <font>
      <sz val="10"/>
      <color rgb="FFFF0000"/>
      <name val="Arial"/>
      <family val="2"/>
    </font>
    <font>
      <b/>
      <sz val="10"/>
      <color rgb="FFFF0000"/>
      <name val="Arial"/>
      <family val="2"/>
    </font>
    <font>
      <b/>
      <sz val="11"/>
      <color rgb="FFFF0000"/>
      <name val="Arial"/>
      <family val="2"/>
    </font>
    <font>
      <b/>
      <sz val="10"/>
      <color rgb="FF00B050"/>
      <name val="Arial"/>
      <family val="2"/>
    </font>
    <font>
      <b/>
      <sz val="10"/>
      <color theme="0" tint="-0.14999847407452621"/>
      <name val="Arial"/>
      <family val="2"/>
    </font>
    <font>
      <sz val="10"/>
      <color theme="0" tint="-0.14999847407452621"/>
      <name val="Arial"/>
      <family val="2"/>
    </font>
    <font>
      <b/>
      <sz val="12"/>
      <color theme="1"/>
      <name val="Arial"/>
      <family val="2"/>
    </font>
    <font>
      <sz val="9"/>
      <color theme="1"/>
      <name val="Arial"/>
      <family val="2"/>
    </font>
    <font>
      <b/>
      <sz val="16"/>
      <color theme="1"/>
      <name val="Arial"/>
      <family val="2"/>
    </font>
    <font>
      <sz val="8"/>
      <color theme="1"/>
      <name val="Arial"/>
      <family val="2"/>
    </font>
    <font>
      <sz val="10"/>
      <color theme="9" tint="-0.249977111117893"/>
      <name val="Arial"/>
      <family val="2"/>
    </font>
    <font>
      <sz val="10"/>
      <color rgb="FF000000"/>
      <name val="Arial"/>
      <family val="2"/>
    </font>
    <font>
      <sz val="11"/>
      <color theme="1"/>
      <name val="Arial"/>
      <family val="2"/>
    </font>
    <font>
      <sz val="10"/>
      <color theme="4" tint="0.79998168889431442"/>
      <name val="Arial"/>
      <family val="2"/>
    </font>
    <font>
      <b/>
      <sz val="9"/>
      <color theme="0" tint="-0.14999847407452621"/>
      <name val="Arial"/>
      <family val="2"/>
    </font>
    <font>
      <sz val="9"/>
      <color theme="0" tint="-0.14999847407452621"/>
      <name val="Arial"/>
      <family val="2"/>
    </font>
    <font>
      <sz val="11"/>
      <color theme="0" tint="-0.14999847407452621"/>
      <name val="Arial"/>
      <family val="2"/>
    </font>
    <font>
      <sz val="12"/>
      <color theme="1"/>
      <name val="Arial"/>
      <family val="2"/>
    </font>
    <font>
      <u/>
      <sz val="10"/>
      <color theme="10"/>
      <name val="Arial"/>
      <family val="2"/>
    </font>
    <font>
      <sz val="7.5"/>
      <color rgb="FF000000"/>
      <name val="Arial Narrow"/>
      <family val="2"/>
    </font>
    <font>
      <b/>
      <sz val="7.5"/>
      <color rgb="FF000000"/>
      <name val="Arial Narrow"/>
      <family val="2"/>
    </font>
    <font>
      <b/>
      <sz val="7.5"/>
      <name val="Arial Narrow"/>
      <family val="2"/>
    </font>
    <font>
      <sz val="7.5"/>
      <name val="Arial Narrow"/>
      <family val="2"/>
    </font>
  </fonts>
  <fills count="34">
    <fill>
      <patternFill patternType="none"/>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indexed="52"/>
        <bgColor indexed="64"/>
      </patternFill>
    </fill>
    <fill>
      <patternFill patternType="solid">
        <fgColor theme="9"/>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5" tint="0.39997558519241921"/>
        <bgColor indexed="64"/>
      </patternFill>
    </fill>
    <fill>
      <gradientFill degree="45">
        <stop position="0">
          <color theme="9" tint="0.40000610370189521"/>
        </stop>
        <stop position="1">
          <color theme="9" tint="-0.49803155613879818"/>
        </stop>
      </gradient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8" tint="0.79998168889431442"/>
        <bgColor auto="1"/>
      </patternFill>
    </fill>
  </fills>
  <borders count="7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top style="double">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medium">
        <color rgb="FF000000"/>
      </bottom>
      <diagonal/>
    </border>
    <border>
      <left/>
      <right/>
      <top style="medium">
        <color rgb="FF000000"/>
      </top>
      <bottom/>
      <diagonal/>
    </border>
  </borders>
  <cellStyleXfs count="2">
    <xf numFmtId="0" fontId="0" fillId="0" borderId="0"/>
    <xf numFmtId="0" fontId="33" fillId="0" borderId="0" applyNumberFormat="0" applyFill="0" applyBorder="0" applyAlignment="0" applyProtection="0"/>
  </cellStyleXfs>
  <cellXfs count="108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0" fillId="0" borderId="0" xfId="0" applyBorder="1" applyProtection="1"/>
    <xf numFmtId="0" fontId="0" fillId="0" borderId="0" xfId="0" applyBorder="1" applyAlignment="1" applyProtection="1"/>
    <xf numFmtId="0" fontId="3" fillId="0" borderId="0" xfId="0" applyFont="1" applyAlignment="1" applyProtection="1">
      <alignment vertical="top"/>
    </xf>
    <xf numFmtId="0" fontId="0" fillId="0" borderId="0" xfId="0" applyFill="1" applyBorder="1" applyAlignment="1" applyProtection="1"/>
    <xf numFmtId="0" fontId="4" fillId="0" borderId="0" xfId="0" quotePrefix="1" applyFont="1" applyFill="1" applyBorder="1" applyAlignment="1" applyProtection="1">
      <alignment horizontal="left"/>
    </xf>
    <xf numFmtId="0" fontId="4" fillId="0" borderId="0" xfId="0" applyFont="1" applyFill="1" applyBorder="1" applyAlignment="1" applyProtection="1"/>
    <xf numFmtId="0" fontId="1" fillId="0" borderId="0" xfId="0" applyFont="1"/>
    <xf numFmtId="0" fontId="0" fillId="0" borderId="0" xfId="0" applyBorder="1" applyAlignment="1" applyProtection="1">
      <alignment horizontal="center" vertical="center"/>
    </xf>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Border="1"/>
    <xf numFmtId="0" fontId="3" fillId="0" borderId="0" xfId="0" applyFont="1" applyBorder="1" applyAlignment="1" applyProtection="1">
      <alignment vertical="top"/>
    </xf>
    <xf numFmtId="0" fontId="0" fillId="0" borderId="0" xfId="0" applyAlignment="1">
      <alignment wrapText="1"/>
    </xf>
    <xf numFmtId="2" fontId="0" fillId="0" borderId="0" xfId="0" applyNumberFormat="1" applyFill="1" applyBorder="1" applyAlignment="1" applyProtection="1">
      <alignment horizontal="center" vertical="center"/>
    </xf>
    <xf numFmtId="0" fontId="0" fillId="0" borderId="0" xfId="0" applyFill="1" applyAlignment="1">
      <alignment horizontal="center" vertical="center"/>
    </xf>
    <xf numFmtId="0" fontId="0" fillId="0" borderId="0" xfId="0" applyFill="1" applyBorder="1" applyAlignment="1" applyProtection="1">
      <alignment horizontal="right"/>
    </xf>
    <xf numFmtId="0" fontId="0" fillId="0" borderId="0" xfId="0" applyBorder="1" applyAlignment="1" applyProtection="1">
      <alignment vertical="center"/>
    </xf>
    <xf numFmtId="0" fontId="1" fillId="0" borderId="0" xfId="0" applyFont="1" applyFill="1" applyBorder="1" applyAlignment="1" applyProtection="1">
      <alignment horizontal="left"/>
    </xf>
    <xf numFmtId="0" fontId="0" fillId="0" borderId="0" xfId="0" applyAlignment="1">
      <alignment horizontal="center"/>
    </xf>
    <xf numFmtId="0" fontId="0" fillId="3" borderId="0" xfId="0" applyFill="1"/>
    <xf numFmtId="0" fontId="0" fillId="5" borderId="0" xfId="0" applyFill="1"/>
    <xf numFmtId="0" fontId="0" fillId="0" borderId="0" xfId="0" applyFont="1"/>
    <xf numFmtId="0" fontId="0" fillId="0" borderId="0" xfId="0" applyFont="1" applyAlignment="1">
      <alignment horizontal="center" vertical="center"/>
    </xf>
    <xf numFmtId="1" fontId="0" fillId="0" borderId="0" xfId="0" applyNumberFormat="1" applyAlignment="1">
      <alignment horizontal="center" vertical="center"/>
    </xf>
    <xf numFmtId="1" fontId="0" fillId="0" borderId="0" xfId="0" applyNumberFormat="1" applyAlignment="1">
      <alignment horizontal="center"/>
    </xf>
    <xf numFmtId="1" fontId="0" fillId="0" borderId="0" xfId="0" applyNumberFormat="1"/>
    <xf numFmtId="0" fontId="0" fillId="0" borderId="0" xfId="0" applyFill="1"/>
    <xf numFmtId="0" fontId="0" fillId="0" borderId="0" xfId="0" applyAlignment="1">
      <alignment horizontal="right"/>
    </xf>
    <xf numFmtId="0" fontId="0" fillId="0" borderId="0" xfId="0" applyFill="1" applyBorder="1"/>
    <xf numFmtId="0" fontId="0" fillId="4" borderId="0" xfId="0" applyFill="1" applyAlignment="1">
      <alignment horizontal="center" vertical="center"/>
    </xf>
    <xf numFmtId="0" fontId="1" fillId="8" borderId="0" xfId="0" applyFont="1" applyFill="1"/>
    <xf numFmtId="0" fontId="0" fillId="8" borderId="0" xfId="0" applyFill="1" applyAlignment="1">
      <alignment horizontal="center" vertical="center"/>
    </xf>
    <xf numFmtId="0" fontId="0" fillId="0" borderId="0" xfId="0" applyAlignment="1">
      <alignment horizontal="center" vertical="center"/>
    </xf>
    <xf numFmtId="0" fontId="1" fillId="8" borderId="0" xfId="0" applyFont="1" applyFill="1" applyAlignment="1">
      <alignment horizontal="center" vertical="center"/>
    </xf>
    <xf numFmtId="0" fontId="0" fillId="0" borderId="0" xfId="0" applyFill="1" applyBorder="1" applyAlignment="1" applyProtection="1">
      <alignment horizontal="center"/>
    </xf>
    <xf numFmtId="0" fontId="7" fillId="0" borderId="0" xfId="0" applyFont="1" applyProtection="1"/>
    <xf numFmtId="0" fontId="0" fillId="0" borderId="0" xfId="0" applyProtection="1"/>
    <xf numFmtId="0" fontId="3" fillId="0" borderId="0" xfId="0" applyFont="1" applyAlignment="1" applyProtection="1">
      <alignment horizontal="left" vertical="top"/>
    </xf>
    <xf numFmtId="0" fontId="3" fillId="0" borderId="0" xfId="0" applyFont="1" applyAlignment="1" applyProtection="1"/>
    <xf numFmtId="0" fontId="8" fillId="0" borderId="0" xfId="0" applyFont="1" applyAlignment="1" applyProtection="1">
      <alignment horizontal="left" vertical="top"/>
    </xf>
    <xf numFmtId="0" fontId="4" fillId="0" borderId="0" xfId="0" applyFont="1" applyAlignment="1" applyProtection="1">
      <alignment horizontal="left" vertical="top"/>
    </xf>
    <xf numFmtId="0" fontId="4" fillId="0" borderId="0" xfId="0" applyFont="1" applyAlignment="1" applyProtection="1"/>
    <xf numFmtId="0" fontId="0" fillId="0" borderId="13" xfId="0" applyBorder="1" applyProtection="1"/>
    <xf numFmtId="0" fontId="0" fillId="0" borderId="15" xfId="0" applyBorder="1" applyProtection="1"/>
    <xf numFmtId="0" fontId="0" fillId="0" borderId="5" xfId="0" applyBorder="1" applyProtection="1"/>
    <xf numFmtId="0" fontId="0" fillId="0" borderId="10" xfId="0" applyBorder="1" applyProtection="1"/>
    <xf numFmtId="0" fontId="0" fillId="0" borderId="3" xfId="0" applyFill="1" applyBorder="1" applyProtection="1"/>
    <xf numFmtId="0" fontId="10" fillId="0" borderId="13" xfId="0" applyFont="1" applyBorder="1" applyAlignment="1" applyProtection="1">
      <alignment vertical="top" wrapText="1"/>
    </xf>
    <xf numFmtId="0" fontId="0" fillId="0" borderId="0" xfId="0" applyAlignment="1" applyProtection="1"/>
    <xf numFmtId="0" fontId="3" fillId="0" borderId="0" xfId="0" applyFont="1" applyProtection="1"/>
    <xf numFmtId="0" fontId="0" fillId="0" borderId="1" xfId="0" applyBorder="1" applyProtection="1"/>
    <xf numFmtId="0" fontId="0" fillId="0" borderId="3" xfId="0" applyBorder="1" applyProtection="1"/>
    <xf numFmtId="0" fontId="1" fillId="10" borderId="0" xfId="0" applyFont="1" applyFill="1"/>
    <xf numFmtId="0" fontId="0" fillId="10" borderId="0" xfId="0" applyFill="1" applyAlignment="1" applyProtection="1"/>
    <xf numFmtId="0" fontId="3" fillId="10" borderId="0" xfId="0" applyFont="1" applyFill="1" applyAlignment="1" applyProtection="1">
      <alignment horizontal="left" vertical="top" wrapText="1"/>
    </xf>
    <xf numFmtId="0" fontId="12" fillId="0" borderId="0" xfId="0" applyFont="1"/>
    <xf numFmtId="0" fontId="1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top"/>
    </xf>
    <xf numFmtId="0" fontId="13" fillId="0" borderId="0" xfId="0" applyFont="1"/>
    <xf numFmtId="0" fontId="3" fillId="0" borderId="0" xfId="0" applyFont="1" applyAlignment="1">
      <alignment wrapText="1"/>
    </xf>
    <xf numFmtId="17" fontId="0" fillId="0" borderId="0" xfId="0" quotePrefix="1" applyNumberFormat="1" applyAlignment="1">
      <alignment horizontal="center" vertical="center"/>
    </xf>
    <xf numFmtId="0" fontId="1" fillId="0" borderId="0" xfId="0" applyFont="1" applyAlignment="1">
      <alignment horizontal="center" vertical="center"/>
    </xf>
    <xf numFmtId="0" fontId="0" fillId="7" borderId="0" xfId="0" applyFill="1" applyAlignment="1">
      <alignment horizontal="center"/>
    </xf>
    <xf numFmtId="0" fontId="1" fillId="0" borderId="0" xfId="0" applyFont="1" applyAlignment="1">
      <alignment wrapText="1"/>
    </xf>
    <xf numFmtId="0" fontId="1" fillId="0" borderId="0" xfId="0" applyFont="1" applyAlignment="1">
      <alignment horizontal="center" vertical="center" wrapText="1"/>
    </xf>
    <xf numFmtId="0" fontId="0" fillId="3" borderId="0" xfId="0" applyFill="1" applyAlignment="1">
      <alignment horizontal="center" vertical="center"/>
    </xf>
    <xf numFmtId="0" fontId="1" fillId="10" borderId="0" xfId="0" applyFont="1" applyFill="1" applyAlignment="1">
      <alignment horizontal="center" vertical="center"/>
    </xf>
    <xf numFmtId="0" fontId="0" fillId="5" borderId="0" xfId="0" applyFill="1"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0" fontId="0" fillId="7" borderId="0" xfId="0" applyFill="1" applyAlignment="1">
      <alignment horizontal="center" vertical="center"/>
    </xf>
    <xf numFmtId="1" fontId="1" fillId="8" borderId="0" xfId="0" applyNumberFormat="1" applyFont="1" applyFill="1" applyAlignment="1">
      <alignment horizontal="center" vertical="center"/>
    </xf>
    <xf numFmtId="0" fontId="0" fillId="8" borderId="0" xfId="0" applyFill="1" applyAlignment="1">
      <alignment horizontal="center"/>
    </xf>
    <xf numFmtId="0" fontId="0" fillId="8" borderId="0" xfId="0" applyFill="1"/>
    <xf numFmtId="1" fontId="0" fillId="8" borderId="0" xfId="0" applyNumberFormat="1" applyFill="1" applyAlignment="1">
      <alignment horizontal="center" vertical="center"/>
    </xf>
    <xf numFmtId="0" fontId="0" fillId="13" borderId="0" xfId="0" applyFill="1"/>
    <xf numFmtId="0" fontId="0" fillId="13" borderId="0" xfId="0" applyFill="1" applyAlignment="1">
      <alignment wrapText="1"/>
    </xf>
    <xf numFmtId="1" fontId="0" fillId="13" borderId="0" xfId="0" applyNumberFormat="1" applyFill="1"/>
    <xf numFmtId="0" fontId="1" fillId="13" borderId="0" xfId="0" applyFont="1" applyFill="1"/>
    <xf numFmtId="1" fontId="0" fillId="0" borderId="0" xfId="0" applyNumberFormat="1" applyFill="1" applyAlignment="1">
      <alignment horizontal="center" vertical="center"/>
    </xf>
    <xf numFmtId="0" fontId="0" fillId="0" borderId="0" xfId="0" applyFill="1" applyAlignment="1">
      <alignment wrapText="1"/>
    </xf>
    <xf numFmtId="0" fontId="0" fillId="0" borderId="0" xfId="0" applyFill="1" applyAlignment="1">
      <alignment horizontal="center"/>
    </xf>
    <xf numFmtId="1" fontId="0" fillId="0" borderId="0" xfId="0" applyNumberFormat="1" applyFill="1" applyAlignment="1">
      <alignment horizontal="center"/>
    </xf>
    <xf numFmtId="0" fontId="14" fillId="0" borderId="0" xfId="0" applyFont="1"/>
    <xf numFmtId="1" fontId="14" fillId="0" borderId="0" xfId="0" applyNumberFormat="1" applyFont="1" applyFill="1" applyAlignment="1">
      <alignment horizontal="center" vertical="center"/>
    </xf>
    <xf numFmtId="2" fontId="0" fillId="0" borderId="0" xfId="0" applyNumberFormat="1" applyProtection="1"/>
    <xf numFmtId="1" fontId="0" fillId="0" borderId="0" xfId="0" applyNumberFormat="1" applyFill="1" applyBorder="1"/>
    <xf numFmtId="0" fontId="1" fillId="0" borderId="0" xfId="0" applyFont="1" applyProtection="1"/>
    <xf numFmtId="0" fontId="1" fillId="0" borderId="0" xfId="0" applyFont="1" applyFill="1" applyBorder="1" applyAlignment="1" applyProtection="1">
      <alignment horizontal="center" vertical="center"/>
    </xf>
    <xf numFmtId="2" fontId="0" fillId="0" borderId="0" xfId="0" applyNumberFormat="1" applyAlignment="1" applyProtection="1">
      <alignment horizontal="center" vertical="center"/>
    </xf>
    <xf numFmtId="2" fontId="0" fillId="0" borderId="9" xfId="0" applyNumberFormat="1" applyBorder="1" applyProtection="1"/>
    <xf numFmtId="2" fontId="0" fillId="0" borderId="10" xfId="0" applyNumberFormat="1" applyBorder="1" applyProtection="1"/>
    <xf numFmtId="2" fontId="0" fillId="0" borderId="12" xfId="0" applyNumberFormat="1" applyBorder="1" applyProtection="1"/>
    <xf numFmtId="0" fontId="1" fillId="10" borderId="0" xfId="0" applyFont="1" applyFill="1" applyAlignment="1" applyProtection="1"/>
    <xf numFmtId="0" fontId="0" fillId="15" borderId="5" xfId="0" applyFill="1" applyBorder="1" applyProtection="1"/>
    <xf numFmtId="0" fontId="4" fillId="0" borderId="0" xfId="0" applyFont="1" applyFill="1"/>
    <xf numFmtId="0" fontId="0" fillId="8" borderId="1" xfId="0" applyFill="1" applyBorder="1"/>
    <xf numFmtId="0" fontId="0" fillId="8" borderId="8" xfId="0" applyFill="1" applyBorder="1"/>
    <xf numFmtId="0" fontId="0" fillId="8" borderId="9" xfId="0" applyFill="1" applyBorder="1"/>
    <xf numFmtId="0" fontId="0" fillId="8" borderId="5" xfId="0" applyFill="1" applyBorder="1"/>
    <xf numFmtId="0" fontId="0" fillId="8" borderId="0" xfId="0" applyFill="1" applyBorder="1"/>
    <xf numFmtId="0" fontId="0" fillId="8" borderId="10" xfId="0" applyFill="1" applyBorder="1"/>
    <xf numFmtId="0" fontId="0" fillId="8" borderId="3" xfId="0" applyFill="1" applyBorder="1"/>
    <xf numFmtId="0" fontId="0" fillId="8" borderId="11" xfId="0" applyFill="1" applyBorder="1"/>
    <xf numFmtId="0" fontId="0" fillId="8" borderId="12" xfId="0" applyFill="1" applyBorder="1"/>
    <xf numFmtId="0" fontId="0" fillId="16" borderId="0" xfId="0" applyFill="1" applyAlignment="1">
      <alignment horizontal="center" vertical="center"/>
    </xf>
    <xf numFmtId="0" fontId="0" fillId="8" borderId="19" xfId="0" applyFill="1" applyBorder="1"/>
    <xf numFmtId="0" fontId="0" fillId="0" borderId="0" xfId="0" applyFill="1" applyBorder="1" applyAlignment="1">
      <alignment horizontal="center" vertical="center"/>
    </xf>
    <xf numFmtId="0" fontId="0" fillId="0" borderId="14" xfId="0" applyBorder="1" applyProtection="1"/>
    <xf numFmtId="2" fontId="0" fillId="0" borderId="8" xfId="0" applyNumberFormat="1" applyBorder="1" applyProtection="1"/>
    <xf numFmtId="2" fontId="0" fillId="0" borderId="0" xfId="0" applyNumberFormat="1" applyBorder="1" applyProtection="1"/>
    <xf numFmtId="2" fontId="0" fillId="0" borderId="11" xfId="0" applyNumberFormat="1" applyBorder="1" applyProtection="1"/>
    <xf numFmtId="0" fontId="0" fillId="10" borderId="16" xfId="0" applyFill="1" applyBorder="1" applyAlignment="1" applyProtection="1">
      <alignment horizontal="center" vertical="center"/>
    </xf>
    <xf numFmtId="0" fontId="0" fillId="0" borderId="5" xfId="0" applyFill="1" applyBorder="1" applyProtection="1"/>
    <xf numFmtId="0" fontId="0" fillId="0" borderId="12" xfId="0" applyFill="1" applyBorder="1" applyProtection="1"/>
    <xf numFmtId="164" fontId="0" fillId="0" borderId="10" xfId="0" applyNumberFormat="1" applyFill="1" applyBorder="1" applyProtection="1"/>
    <xf numFmtId="0" fontId="0" fillId="0" borderId="16" xfId="0" applyBorder="1"/>
    <xf numFmtId="0" fontId="0" fillId="0" borderId="23" xfId="0" applyBorder="1"/>
    <xf numFmtId="2" fontId="0" fillId="7" borderId="17" xfId="0" applyNumberFormat="1" applyFill="1" applyBorder="1" applyAlignment="1" applyProtection="1">
      <alignment horizontal="center" vertical="center"/>
      <protection locked="0"/>
    </xf>
    <xf numFmtId="0" fontId="0" fillId="7" borderId="24" xfId="0" applyFill="1" applyBorder="1" applyAlignment="1" applyProtection="1">
      <alignment horizontal="center" vertical="center"/>
      <protection locked="0"/>
    </xf>
    <xf numFmtId="0" fontId="0" fillId="0" borderId="0" xfId="0" applyFill="1" applyProtection="1"/>
    <xf numFmtId="0" fontId="4" fillId="0" borderId="0" xfId="0" applyFont="1" applyProtection="1"/>
    <xf numFmtId="0" fontId="0" fillId="8" borderId="1" xfId="0" applyFill="1" applyBorder="1" applyProtection="1"/>
    <xf numFmtId="0" fontId="0" fillId="8" borderId="9" xfId="0" applyFill="1" applyBorder="1" applyProtection="1"/>
    <xf numFmtId="0" fontId="1" fillId="8" borderId="5" xfId="0" applyFont="1" applyFill="1" applyBorder="1" applyProtection="1"/>
    <xf numFmtId="0" fontId="0" fillId="8" borderId="10" xfId="0" applyFill="1" applyBorder="1" applyProtection="1"/>
    <xf numFmtId="0" fontId="0" fillId="8" borderId="24" xfId="0" applyFill="1" applyBorder="1" applyAlignment="1" applyProtection="1">
      <alignment horizontal="center" vertical="center"/>
    </xf>
    <xf numFmtId="0" fontId="0" fillId="0" borderId="1" xfId="0" quotePrefix="1" applyBorder="1" applyAlignment="1" applyProtection="1">
      <alignment horizontal="left"/>
    </xf>
    <xf numFmtId="0" fontId="0" fillId="0" borderId="8" xfId="0" quotePrefix="1" applyBorder="1" applyAlignment="1" applyProtection="1">
      <alignment horizontal="left"/>
    </xf>
    <xf numFmtId="0" fontId="0" fillId="0" borderId="9" xfId="0" applyBorder="1" applyProtection="1"/>
    <xf numFmtId="0" fontId="0" fillId="0" borderId="2" xfId="0" applyFill="1" applyBorder="1" applyAlignment="1" applyProtection="1">
      <alignment horizontal="center"/>
    </xf>
    <xf numFmtId="0" fontId="0" fillId="0" borderId="3" xfId="0" applyBorder="1" applyAlignment="1" applyProtection="1">
      <alignment horizontal="center"/>
    </xf>
    <xf numFmtId="0" fontId="0" fillId="0" borderId="11" xfId="0" quotePrefix="1" applyBorder="1" applyAlignment="1" applyProtection="1">
      <alignment horizontal="center"/>
    </xf>
    <xf numFmtId="0" fontId="0" fillId="0" borderId="12" xfId="0" applyBorder="1" applyAlignment="1" applyProtection="1">
      <alignment horizontal="center"/>
    </xf>
    <xf numFmtId="0" fontId="0" fillId="0" borderId="12" xfId="0" applyBorder="1" applyProtection="1"/>
    <xf numFmtId="0" fontId="0" fillId="0" borderId="4" xfId="0" applyBorder="1" applyProtection="1"/>
    <xf numFmtId="0" fontId="0" fillId="8" borderId="3" xfId="0" applyFill="1" applyBorder="1" applyProtection="1"/>
    <xf numFmtId="0" fontId="0" fillId="8" borderId="12" xfId="0" applyFill="1" applyBorder="1" applyProtection="1"/>
    <xf numFmtId="1" fontId="0" fillId="0" borderId="8" xfId="0" applyNumberFormat="1" applyBorder="1" applyAlignment="1" applyProtection="1">
      <alignment horizontal="center"/>
    </xf>
    <xf numFmtId="0" fontId="0" fillId="0" borderId="9" xfId="0" applyBorder="1" applyAlignment="1" applyProtection="1">
      <alignment horizontal="center"/>
    </xf>
    <xf numFmtId="0" fontId="0" fillId="0" borderId="6" xfId="0" applyBorder="1" applyAlignment="1" applyProtection="1">
      <alignment horizontal="center" vertical="center"/>
    </xf>
    <xf numFmtId="1" fontId="0" fillId="0" borderId="0" xfId="0" applyNumberFormat="1" applyBorder="1" applyAlignment="1" applyProtection="1">
      <alignment horizontal="center"/>
    </xf>
    <xf numFmtId="0" fontId="0" fillId="0" borderId="10" xfId="0" applyBorder="1" applyAlignment="1" applyProtection="1">
      <alignment horizontal="center"/>
    </xf>
    <xf numFmtId="0" fontId="0" fillId="0" borderId="6" xfId="0" applyFill="1" applyBorder="1" applyAlignment="1" applyProtection="1">
      <alignment horizontal="center" vertical="center"/>
    </xf>
    <xf numFmtId="0" fontId="0" fillId="8" borderId="5" xfId="0" applyFill="1" applyBorder="1" applyProtection="1"/>
    <xf numFmtId="1" fontId="6" fillId="0" borderId="11" xfId="0" applyNumberFormat="1" applyFont="1" applyBorder="1" applyAlignment="1" applyProtection="1">
      <alignment horizontal="center"/>
    </xf>
    <xf numFmtId="0" fontId="6" fillId="0" borderId="12" xfId="0" applyFont="1" applyBorder="1" applyAlignment="1" applyProtection="1">
      <alignment horizontal="center"/>
    </xf>
    <xf numFmtId="0" fontId="0" fillId="0" borderId="4" xfId="0" applyFill="1" applyBorder="1" applyAlignment="1" applyProtection="1">
      <alignment horizontal="center" vertical="center"/>
    </xf>
    <xf numFmtId="0" fontId="0" fillId="0" borderId="11" xfId="0" applyBorder="1" applyProtection="1"/>
    <xf numFmtId="0" fontId="3" fillId="0" borderId="12" xfId="0" applyFont="1" applyFill="1" applyBorder="1" applyProtection="1"/>
    <xf numFmtId="0" fontId="0" fillId="0" borderId="0" xfId="0" applyAlignment="1" applyProtection="1">
      <alignment horizontal="center" vertical="center"/>
    </xf>
    <xf numFmtId="0" fontId="0" fillId="0" borderId="2"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4" xfId="0" applyBorder="1" applyAlignment="1" applyProtection="1">
      <alignment horizontal="center" vertical="center"/>
    </xf>
    <xf numFmtId="0" fontId="0" fillId="22" borderId="16" xfId="0" applyFill="1" applyBorder="1" applyAlignment="1" applyProtection="1">
      <alignment horizontal="center" vertical="center"/>
    </xf>
    <xf numFmtId="0" fontId="0" fillId="22" borderId="17" xfId="0" applyFill="1" applyBorder="1" applyAlignment="1" applyProtection="1">
      <alignment horizontal="center" vertical="center"/>
    </xf>
    <xf numFmtId="0" fontId="0" fillId="17" borderId="16" xfId="0" applyFill="1" applyBorder="1" applyAlignment="1" applyProtection="1">
      <alignment horizontal="center" vertical="center"/>
    </xf>
    <xf numFmtId="0" fontId="0" fillId="0" borderId="8" xfId="0" applyBorder="1" applyProtection="1"/>
    <xf numFmtId="0" fontId="0" fillId="0" borderId="13" xfId="0" applyFill="1" applyBorder="1" applyProtection="1"/>
    <xf numFmtId="0" fontId="0" fillId="0" borderId="7" xfId="0" applyFill="1" applyBorder="1" applyAlignment="1" applyProtection="1">
      <alignment horizontal="center" vertical="center"/>
    </xf>
    <xf numFmtId="0" fontId="0" fillId="0" borderId="0" xfId="0" applyAlignment="1" applyProtection="1">
      <alignment wrapText="1"/>
    </xf>
    <xf numFmtId="165" fontId="0" fillId="22" borderId="16" xfId="0" applyNumberFormat="1" applyFill="1" applyBorder="1" applyAlignment="1" applyProtection="1">
      <alignment horizontal="center" vertical="center"/>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5" xfId="0" applyBorder="1" applyAlignment="1" applyProtection="1">
      <alignment horizontal="center"/>
    </xf>
    <xf numFmtId="2" fontId="0" fillId="0" borderId="8" xfId="0" applyNumberFormat="1" applyBorder="1" applyAlignment="1" applyProtection="1">
      <alignment horizontal="center"/>
    </xf>
    <xf numFmtId="0" fontId="0" fillId="0" borderId="2" xfId="0" applyBorder="1" applyAlignment="1" applyProtection="1">
      <alignment horizontal="center" vertical="center"/>
    </xf>
    <xf numFmtId="2" fontId="0" fillId="0" borderId="0" xfId="0" applyNumberFormat="1" applyBorder="1" applyAlignment="1" applyProtection="1">
      <alignment horizontal="center"/>
    </xf>
    <xf numFmtId="0" fontId="6" fillId="0" borderId="11" xfId="0" applyNumberFormat="1" applyFont="1" applyBorder="1" applyAlignment="1" applyProtection="1">
      <alignment horizontal="center"/>
    </xf>
    <xf numFmtId="0" fontId="0" fillId="0" borderId="11" xfId="0" applyBorder="1" applyAlignment="1" applyProtection="1">
      <alignment horizontal="center"/>
    </xf>
    <xf numFmtId="0" fontId="3" fillId="0" borderId="0" xfId="0" applyFont="1" applyFill="1" applyBorder="1" applyProtection="1"/>
    <xf numFmtId="0" fontId="1" fillId="0" borderId="0" xfId="0" applyFont="1" applyFill="1" applyBorder="1" applyProtection="1"/>
    <xf numFmtId="0" fontId="4" fillId="11" borderId="1" xfId="0" applyFont="1" applyFill="1" applyBorder="1" applyProtection="1"/>
    <xf numFmtId="0" fontId="0" fillId="11" borderId="8" xfId="0" applyFill="1" applyBorder="1" applyProtection="1"/>
    <xf numFmtId="0" fontId="0" fillId="11" borderId="9" xfId="0" applyFill="1" applyBorder="1" applyProtection="1"/>
    <xf numFmtId="0" fontId="3" fillId="0" borderId="0" xfId="0" applyFont="1" applyFill="1" applyBorder="1" applyAlignment="1" applyProtection="1">
      <alignment horizontal="right"/>
    </xf>
    <xf numFmtId="0" fontId="3" fillId="0" borderId="0" xfId="0" applyFont="1" applyFill="1" applyBorder="1" applyAlignment="1" applyProtection="1">
      <alignment horizontal="left" vertical="center"/>
    </xf>
    <xf numFmtId="0" fontId="4" fillId="11" borderId="5" xfId="0" applyFont="1" applyFill="1" applyBorder="1" applyProtection="1"/>
    <xf numFmtId="0" fontId="0" fillId="11" borderId="0" xfId="0" applyFill="1" applyBorder="1" applyProtection="1"/>
    <xf numFmtId="0" fontId="4" fillId="11" borderId="10" xfId="0" applyFont="1" applyFill="1" applyBorder="1" applyProtection="1"/>
    <xf numFmtId="2" fontId="0" fillId="0" borderId="0" xfId="0" applyNumberFormat="1" applyFill="1" applyBorder="1" applyAlignment="1" applyProtection="1">
      <alignment horizontal="center"/>
    </xf>
    <xf numFmtId="0" fontId="4" fillId="11" borderId="0" xfId="0" applyFont="1" applyFill="1" applyBorder="1" applyProtection="1"/>
    <xf numFmtId="0" fontId="0" fillId="11" borderId="5" xfId="0" applyFill="1" applyBorder="1" applyAlignment="1" applyProtection="1">
      <alignment horizontal="center"/>
    </xf>
    <xf numFmtId="0" fontId="0" fillId="11" borderId="10" xfId="0" applyFill="1" applyBorder="1" applyAlignment="1" applyProtection="1">
      <alignment horizontal="center" vertical="center"/>
    </xf>
    <xf numFmtId="0" fontId="3" fillId="11" borderId="0" xfId="0" quotePrefix="1" applyFont="1" applyFill="1" applyBorder="1" applyAlignment="1" applyProtection="1">
      <alignment horizontal="left"/>
    </xf>
    <xf numFmtId="0" fontId="3" fillId="11" borderId="0" xfId="0" applyFont="1" applyFill="1" applyBorder="1" applyProtection="1"/>
    <xf numFmtId="0" fontId="3" fillId="11" borderId="5" xfId="0" applyFont="1" applyFill="1" applyBorder="1" applyAlignment="1" applyProtection="1">
      <alignment horizontal="center"/>
    </xf>
    <xf numFmtId="0" fontId="0" fillId="12" borderId="3" xfId="0" applyFill="1" applyBorder="1" applyAlignment="1" applyProtection="1">
      <alignment horizontal="center" vertical="center"/>
    </xf>
    <xf numFmtId="0" fontId="3" fillId="11" borderId="11" xfId="0" applyFont="1" applyFill="1" applyBorder="1" applyProtection="1"/>
    <xf numFmtId="0" fontId="0" fillId="12" borderId="11" xfId="0" applyFill="1" applyBorder="1" applyProtection="1"/>
    <xf numFmtId="0" fontId="0" fillId="12" borderId="12" xfId="0" applyFill="1" applyBorder="1" applyAlignment="1" applyProtection="1">
      <alignment horizontal="center" vertical="center"/>
    </xf>
    <xf numFmtId="0" fontId="0" fillId="0" borderId="0" xfId="0" quotePrefix="1" applyAlignment="1" applyProtection="1">
      <alignment horizontal="left"/>
    </xf>
    <xf numFmtId="0" fontId="4" fillId="0" borderId="1" xfId="0" applyFont="1" applyBorder="1" applyProtection="1"/>
    <xf numFmtId="0" fontId="4" fillId="0" borderId="3" xfId="0" quotePrefix="1" applyFont="1" applyBorder="1" applyAlignment="1" applyProtection="1">
      <alignment horizontal="left"/>
    </xf>
    <xf numFmtId="0" fontId="3" fillId="0" borderId="5" xfId="0" applyFont="1" applyBorder="1" applyProtection="1"/>
    <xf numFmtId="0" fontId="0" fillId="0" borderId="3" xfId="0" quotePrefix="1" applyBorder="1" applyAlignment="1" applyProtection="1">
      <alignment horizontal="left"/>
    </xf>
    <xf numFmtId="0" fontId="0" fillId="24" borderId="16" xfId="0" applyFill="1" applyBorder="1" applyAlignment="1" applyProtection="1">
      <alignment horizontal="center" vertical="center"/>
    </xf>
    <xf numFmtId="0" fontId="0" fillId="0" borderId="16" xfId="0" applyBorder="1" applyProtection="1"/>
    <xf numFmtId="0" fontId="0" fillId="24" borderId="22" xfId="0"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 fillId="18" borderId="1" xfId="0" applyFont="1" applyFill="1" applyBorder="1" applyProtection="1"/>
    <xf numFmtId="0" fontId="0" fillId="18" borderId="8" xfId="0" applyFill="1" applyBorder="1" applyProtection="1"/>
    <xf numFmtId="0" fontId="0" fillId="0" borderId="0" xfId="0" applyBorder="1" applyAlignment="1" applyProtection="1">
      <alignment wrapText="1"/>
    </xf>
    <xf numFmtId="1" fontId="0" fillId="0" borderId="0" xfId="0" applyNumberFormat="1" applyFill="1" applyBorder="1" applyAlignment="1">
      <alignment horizontal="center" vertical="center"/>
    </xf>
    <xf numFmtId="0" fontId="0" fillId="0" borderId="0" xfId="0" applyFill="1" applyAlignment="1" applyProtection="1">
      <alignment horizontal="right" vertical="center"/>
    </xf>
    <xf numFmtId="0" fontId="0" fillId="0" borderId="0" xfId="0" applyFill="1" applyAlignment="1" applyProtection="1">
      <alignment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wrapText="1"/>
    </xf>
    <xf numFmtId="0" fontId="0" fillId="27" borderId="16" xfId="0" applyFill="1" applyBorder="1" applyAlignment="1" applyProtection="1">
      <alignment horizontal="center" vertical="center"/>
    </xf>
    <xf numFmtId="0" fontId="1" fillId="0" borderId="0" xfId="0" applyFont="1" applyFill="1" applyBorder="1" applyAlignment="1" applyProtection="1">
      <alignment vertical="center"/>
    </xf>
    <xf numFmtId="0" fontId="0" fillId="0" borderId="0" xfId="0" applyFont="1" applyFill="1" applyBorder="1" applyAlignment="1" applyProtection="1">
      <alignment horizontal="center" vertical="center" wrapText="1"/>
    </xf>
    <xf numFmtId="2" fontId="0" fillId="0" borderId="0" xfId="0" applyNumberFormat="1" applyFill="1" applyAlignment="1" applyProtection="1">
      <alignment horizontal="center" vertical="center"/>
    </xf>
    <xf numFmtId="0" fontId="0" fillId="0" borderId="0" xfId="0" applyAlignment="1">
      <alignment horizontal="center" vertical="center"/>
    </xf>
    <xf numFmtId="0" fontId="0" fillId="0" borderId="0" xfId="0" applyAlignment="1" applyProtection="1">
      <alignment horizontal="center" vertical="center"/>
      <protection hidden="1"/>
    </xf>
    <xf numFmtId="0" fontId="0" fillId="0" borderId="0" xfId="0" applyProtection="1">
      <protection hidden="1"/>
    </xf>
    <xf numFmtId="0" fontId="1" fillId="0" borderId="0" xfId="0" applyFont="1" applyAlignment="1" applyProtection="1">
      <alignment horizontal="center" vertical="center"/>
      <protection hidden="1"/>
    </xf>
    <xf numFmtId="0" fontId="0" fillId="19" borderId="0" xfId="0" applyFill="1" applyAlignment="1" applyProtection="1">
      <alignment horizontal="center" vertical="center"/>
      <protection hidden="1"/>
    </xf>
    <xf numFmtId="0" fontId="0" fillId="0" borderId="0" xfId="0" applyAlignment="1" applyProtection="1">
      <alignment horizontal="right" vertical="center"/>
      <protection hidden="1"/>
    </xf>
    <xf numFmtId="0" fontId="0" fillId="20" borderId="24" xfId="0" applyFill="1" applyBorder="1" applyAlignment="1" applyProtection="1">
      <alignment horizontal="left" vertical="center"/>
      <protection locked="0" hidden="1"/>
    </xf>
    <xf numFmtId="49" fontId="0" fillId="20" borderId="16" xfId="0" applyNumberFormat="1" applyFill="1" applyBorder="1" applyAlignment="1" applyProtection="1">
      <alignment horizontal="left" vertical="center"/>
      <protection locked="0" hidden="1"/>
    </xf>
    <xf numFmtId="0" fontId="0" fillId="14" borderId="24" xfId="0" applyFill="1" applyBorder="1" applyProtection="1">
      <protection hidden="1"/>
    </xf>
    <xf numFmtId="49" fontId="0" fillId="20" borderId="22" xfId="0" applyNumberFormat="1" applyFill="1" applyBorder="1" applyAlignment="1" applyProtection="1">
      <alignment horizontal="left" vertical="center"/>
      <protection locked="0" hidden="1"/>
    </xf>
    <xf numFmtId="0" fontId="0" fillId="14" borderId="22" xfId="0" applyFill="1" applyBorder="1" applyAlignment="1" applyProtection="1">
      <alignment horizontal="left" vertical="center"/>
      <protection locked="0" hidden="1"/>
    </xf>
    <xf numFmtId="0" fontId="0" fillId="17" borderId="24" xfId="0" applyFill="1" applyBorder="1" applyProtection="1">
      <protection hidden="1"/>
    </xf>
    <xf numFmtId="0" fontId="0" fillId="18" borderId="24" xfId="0" applyFill="1" applyBorder="1" applyProtection="1">
      <protection hidden="1"/>
    </xf>
    <xf numFmtId="0" fontId="0" fillId="18" borderId="0" xfId="0" applyFill="1" applyAlignment="1" applyProtection="1">
      <alignment horizontal="center" vertical="center"/>
      <protection hidden="1"/>
    </xf>
    <xf numFmtId="0" fontId="0" fillId="8" borderId="26" xfId="0" applyFill="1" applyBorder="1" applyProtection="1">
      <protection hidden="1"/>
    </xf>
    <xf numFmtId="0" fontId="0" fillId="24" borderId="0" xfId="0" applyFill="1" applyAlignment="1" applyProtection="1">
      <alignment horizontal="center" vertical="center"/>
      <protection hidden="1"/>
    </xf>
    <xf numFmtId="0" fontId="0" fillId="14" borderId="16" xfId="0" applyFill="1" applyBorder="1" applyAlignment="1" applyProtection="1">
      <alignment horizontal="center" vertical="center"/>
      <protection locked="0" hidden="1"/>
    </xf>
    <xf numFmtId="0" fontId="0" fillId="0" borderId="0" xfId="0" applyFill="1" applyBorder="1" applyAlignment="1" applyProtection="1">
      <alignment horizontal="center" vertical="center"/>
      <protection hidden="1"/>
    </xf>
    <xf numFmtId="0" fontId="0" fillId="20" borderId="16" xfId="0" applyFill="1" applyBorder="1" applyAlignment="1" applyProtection="1">
      <alignment horizontal="center" vertical="center"/>
      <protection locked="0" hidden="1"/>
    </xf>
    <xf numFmtId="164" fontId="0" fillId="21" borderId="16" xfId="0" applyNumberFormat="1" applyFill="1" applyBorder="1" applyAlignment="1" applyProtection="1">
      <alignment horizontal="center" vertical="center"/>
      <protection hidden="1"/>
    </xf>
    <xf numFmtId="1" fontId="0" fillId="21" borderId="16" xfId="0" applyNumberFormat="1"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165" fontId="0" fillId="17" borderId="16" xfId="0" applyNumberFormat="1" applyFill="1" applyBorder="1" applyAlignment="1" applyProtection="1">
      <alignment horizontal="center" vertical="center"/>
      <protection hidden="1"/>
    </xf>
    <xf numFmtId="0" fontId="0" fillId="0" borderId="0" xfId="0" applyFill="1" applyProtection="1">
      <protection hidden="1"/>
    </xf>
    <xf numFmtId="0" fontId="0" fillId="21" borderId="16" xfId="0" applyFill="1" applyBorder="1" applyAlignment="1" applyProtection="1">
      <alignment horizontal="center" vertical="center"/>
      <protection hidden="1"/>
    </xf>
    <xf numFmtId="0" fontId="0" fillId="14" borderId="22" xfId="0" applyFill="1" applyBorder="1" applyAlignment="1" applyProtection="1">
      <alignment horizontal="center" vertical="center"/>
      <protection locked="0" hidden="1"/>
    </xf>
    <xf numFmtId="0" fontId="0" fillId="14" borderId="0" xfId="0" applyFill="1" applyAlignment="1" applyProtection="1">
      <alignment horizontal="center" vertical="center"/>
      <protection hidden="1"/>
    </xf>
    <xf numFmtId="0" fontId="0" fillId="0" borderId="0" xfId="0" applyAlignment="1" applyProtection="1">
      <alignment horizontal="center" vertical="center" wrapText="1"/>
      <protection hidden="1"/>
    </xf>
    <xf numFmtId="2" fontId="0" fillId="27" borderId="0" xfId="0" applyNumberFormat="1" applyFill="1" applyAlignment="1" applyProtection="1">
      <alignment horizontal="center" vertical="center"/>
      <protection hidden="1"/>
    </xf>
    <xf numFmtId="2" fontId="0" fillId="0" borderId="0" xfId="0" applyNumberFormat="1" applyAlignment="1" applyProtection="1">
      <alignment horizontal="center" vertical="center"/>
      <protection hidden="1"/>
    </xf>
    <xf numFmtId="0" fontId="0" fillId="19" borderId="0" xfId="0" applyFill="1" applyAlignment="1" applyProtection="1">
      <alignment horizontal="left" vertical="center"/>
      <protection hidden="1"/>
    </xf>
    <xf numFmtId="164" fontId="0" fillId="18" borderId="0" xfId="0" applyNumberFormat="1" applyFill="1" applyAlignment="1" applyProtection="1">
      <alignment horizontal="center" vertical="center"/>
      <protection hidden="1"/>
    </xf>
    <xf numFmtId="0" fontId="0" fillId="19" borderId="0" xfId="0" applyFont="1" applyFill="1" applyAlignment="1" applyProtection="1">
      <alignment horizontal="center" vertical="center"/>
      <protection hidden="1"/>
    </xf>
    <xf numFmtId="0" fontId="0" fillId="19" borderId="0" xfId="0" applyFill="1" applyBorder="1" applyAlignment="1" applyProtection="1">
      <alignment horizontal="center" vertical="center"/>
      <protection hidden="1"/>
    </xf>
    <xf numFmtId="0" fontId="0" fillId="28" borderId="0" xfId="0" applyFill="1" applyProtection="1">
      <protection hidden="1"/>
    </xf>
    <xf numFmtId="0" fontId="11" fillId="28" borderId="0" xfId="0" applyFont="1" applyFill="1" applyProtection="1">
      <protection hidden="1"/>
    </xf>
    <xf numFmtId="0" fontId="0" fillId="28" borderId="0" xfId="0" applyFill="1" applyAlignment="1" applyProtection="1">
      <alignment horizontal="right" vertical="center"/>
      <protection hidden="1"/>
    </xf>
    <xf numFmtId="0" fontId="0" fillId="28" borderId="0" xfId="0" applyFill="1" applyBorder="1" applyAlignment="1" applyProtection="1">
      <alignment horizontal="right" vertical="center"/>
      <protection hidden="1"/>
    </xf>
    <xf numFmtId="0" fontId="0" fillId="28" borderId="0" xfId="0" applyFill="1" applyAlignment="1" applyProtection="1">
      <alignment horizontal="left" vertical="center"/>
      <protection hidden="1"/>
    </xf>
    <xf numFmtId="0" fontId="0" fillId="28" borderId="0" xfId="0" applyFill="1" applyBorder="1" applyAlignment="1" applyProtection="1">
      <alignment horizontal="left" vertical="center"/>
      <protection locked="0" hidden="1"/>
    </xf>
    <xf numFmtId="0" fontId="0" fillId="28" borderId="0" xfId="0" applyFill="1" applyBorder="1" applyAlignment="1" applyProtection="1">
      <alignment horizontal="center"/>
      <protection hidden="1"/>
    </xf>
    <xf numFmtId="0" fontId="0" fillId="28" borderId="8" xfId="0" applyFill="1" applyBorder="1" applyProtection="1">
      <protection hidden="1"/>
    </xf>
    <xf numFmtId="0" fontId="0" fillId="28" borderId="9" xfId="0" applyFill="1" applyBorder="1" applyProtection="1">
      <protection hidden="1"/>
    </xf>
    <xf numFmtId="0" fontId="0" fillId="28" borderId="17" xfId="0" applyFill="1" applyBorder="1" applyAlignment="1" applyProtection="1">
      <alignment horizontal="left" vertical="center"/>
      <protection hidden="1"/>
    </xf>
    <xf numFmtId="0" fontId="0" fillId="28" borderId="30" xfId="0" applyFill="1" applyBorder="1" applyAlignment="1" applyProtection="1">
      <alignment horizontal="left" vertical="center"/>
      <protection hidden="1"/>
    </xf>
    <xf numFmtId="0" fontId="0" fillId="28" borderId="0" xfId="0" applyFill="1" applyAlignment="1" applyProtection="1">
      <alignment horizontal="center" vertical="center"/>
      <protection hidden="1"/>
    </xf>
    <xf numFmtId="0" fontId="15" fillId="28" borderId="0" xfId="0" applyFont="1" applyFill="1" applyBorder="1" applyAlignment="1" applyProtection="1">
      <alignment horizontal="center" vertical="center" wrapText="1"/>
      <protection hidden="1"/>
    </xf>
    <xf numFmtId="0" fontId="0" fillId="28" borderId="0" xfId="0" applyFont="1" applyFill="1" applyBorder="1" applyAlignment="1" applyProtection="1">
      <alignment horizontal="center" vertical="center" wrapText="1"/>
      <protection hidden="1"/>
    </xf>
    <xf numFmtId="0" fontId="0" fillId="28" borderId="0" xfId="0" applyFill="1" applyBorder="1" applyAlignment="1" applyProtection="1">
      <alignment horizontal="center" vertical="center"/>
      <protection hidden="1"/>
    </xf>
    <xf numFmtId="0" fontId="0" fillId="28" borderId="0" xfId="0" applyFill="1" applyAlignment="1" applyProtection="1">
      <alignment horizontal="left"/>
      <protection hidden="1"/>
    </xf>
    <xf numFmtId="0" fontId="0" fillId="28" borderId="0" xfId="0" applyFill="1" applyBorder="1" applyAlignment="1" applyProtection="1">
      <alignment vertical="center"/>
      <protection locked="0" hidden="1"/>
    </xf>
    <xf numFmtId="0" fontId="0" fillId="28" borderId="0" xfId="0" applyFill="1" applyAlignment="1" applyProtection="1">
      <alignment horizontal="center" vertical="center" wrapText="1"/>
      <protection hidden="1"/>
    </xf>
    <xf numFmtId="0" fontId="0" fillId="28" borderId="0" xfId="0" applyFill="1" applyBorder="1" applyAlignment="1" applyProtection="1">
      <protection hidden="1"/>
    </xf>
    <xf numFmtId="0" fontId="1" fillId="28" borderId="0" xfId="0" applyFont="1" applyFill="1" applyBorder="1" applyAlignment="1" applyProtection="1">
      <alignment horizontal="center" vertical="center"/>
      <protection hidden="1"/>
    </xf>
    <xf numFmtId="0" fontId="0" fillId="28" borderId="0" xfId="0" applyFill="1" applyBorder="1" applyProtection="1">
      <protection hidden="1"/>
    </xf>
    <xf numFmtId="0" fontId="0" fillId="28" borderId="46" xfId="0" applyFill="1" applyBorder="1" applyAlignment="1" applyProtection="1">
      <alignment vertical="center"/>
      <protection hidden="1"/>
    </xf>
    <xf numFmtId="0" fontId="0" fillId="28" borderId="47" xfId="0" applyFill="1" applyBorder="1" applyAlignment="1" applyProtection="1">
      <alignment vertical="center"/>
      <protection hidden="1"/>
    </xf>
    <xf numFmtId="0" fontId="4" fillId="28" borderId="16" xfId="0" quotePrefix="1" applyFont="1" applyFill="1" applyBorder="1" applyAlignment="1" applyProtection="1">
      <alignment horizontal="center" vertical="center" wrapText="1"/>
      <protection hidden="1"/>
    </xf>
    <xf numFmtId="0" fontId="0" fillId="28" borderId="55" xfId="0" applyFill="1" applyBorder="1" applyProtection="1">
      <protection hidden="1"/>
    </xf>
    <xf numFmtId="0" fontId="24" fillId="28" borderId="55" xfId="0" applyFont="1" applyFill="1" applyBorder="1" applyProtection="1">
      <protection hidden="1"/>
    </xf>
    <xf numFmtId="2" fontId="0" fillId="28" borderId="0" xfId="0" applyNumberFormat="1" applyFill="1" applyAlignment="1" applyProtection="1">
      <alignment horizontal="center" vertical="center"/>
      <protection hidden="1"/>
    </xf>
    <xf numFmtId="0" fontId="21" fillId="28" borderId="0" xfId="0" applyFont="1" applyFill="1" applyBorder="1" applyProtection="1">
      <protection hidden="1"/>
    </xf>
    <xf numFmtId="0" fontId="0" fillId="28" borderId="0" xfId="0" applyFill="1" applyBorder="1" applyAlignment="1" applyProtection="1">
      <alignment horizontal="left" vertical="center"/>
      <protection hidden="1"/>
    </xf>
    <xf numFmtId="0" fontId="0" fillId="28" borderId="0" xfId="0" applyFill="1" applyBorder="1" applyAlignment="1" applyProtection="1">
      <alignment horizontal="center" vertical="center" wrapText="1"/>
      <protection hidden="1"/>
    </xf>
    <xf numFmtId="164" fontId="0" fillId="28" borderId="0" xfId="0" applyNumberFormat="1" applyFill="1" applyBorder="1" applyAlignment="1" applyProtection="1">
      <alignment horizontal="center" vertical="center"/>
      <protection hidden="1"/>
    </xf>
    <xf numFmtId="0" fontId="11" fillId="28" borderId="0" xfId="0" applyFont="1" applyFill="1" applyBorder="1" applyAlignment="1" applyProtection="1">
      <alignment horizontal="left" vertical="center"/>
      <protection hidden="1"/>
    </xf>
    <xf numFmtId="0" fontId="0" fillId="28" borderId="55" xfId="0" applyFill="1" applyBorder="1" applyAlignment="1" applyProtection="1">
      <alignment horizontal="center" vertical="center"/>
      <protection hidden="1"/>
    </xf>
    <xf numFmtId="0" fontId="0" fillId="28" borderId="55" xfId="0" applyFill="1" applyBorder="1" applyAlignment="1" applyProtection="1">
      <alignment horizontal="center"/>
      <protection hidden="1"/>
    </xf>
    <xf numFmtId="0" fontId="0" fillId="10" borderId="0" xfId="0" applyFill="1" applyProtection="1">
      <protection hidden="1"/>
    </xf>
    <xf numFmtId="0" fontId="0" fillId="10" borderId="0" xfId="0" applyFill="1" applyAlignment="1" applyProtection="1">
      <alignment horizontal="center" vertical="center" wrapText="1"/>
      <protection hidden="1"/>
    </xf>
    <xf numFmtId="0" fontId="0" fillId="26" borderId="16" xfId="0" applyFill="1" applyBorder="1" applyAlignment="1" applyProtection="1">
      <alignment horizontal="center" vertical="center"/>
      <protection locked="0" hidden="1"/>
    </xf>
    <xf numFmtId="0" fontId="0" fillId="0" borderId="0" xfId="0" applyAlignment="1">
      <alignment horizontal="center" vertical="center"/>
    </xf>
    <xf numFmtId="1" fontId="1" fillId="0" borderId="0" xfId="0" applyNumberFormat="1" applyFont="1"/>
    <xf numFmtId="0" fontId="0" fillId="16" borderId="0" xfId="0" applyFill="1"/>
    <xf numFmtId="0" fontId="3" fillId="16" borderId="0" xfId="0" applyFont="1" applyFill="1" applyAlignment="1">
      <alignment horizontal="center" vertical="center"/>
    </xf>
    <xf numFmtId="0" fontId="3" fillId="16" borderId="0" xfId="0" applyFont="1" applyFill="1"/>
    <xf numFmtId="1" fontId="3" fillId="0" borderId="0" xfId="0" applyNumberFormat="1" applyFont="1" applyFill="1" applyAlignment="1">
      <alignment horizontal="center" vertical="center"/>
    </xf>
    <xf numFmtId="1" fontId="0" fillId="16" borderId="0" xfId="0" applyNumberFormat="1" applyFill="1" applyAlignment="1">
      <alignment horizontal="center" vertical="center"/>
    </xf>
    <xf numFmtId="1" fontId="3" fillId="16"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xf numFmtId="0" fontId="3" fillId="0" borderId="16" xfId="0" applyFont="1" applyFill="1" applyBorder="1" applyAlignment="1">
      <alignment horizontal="center" vertical="center"/>
    </xf>
    <xf numFmtId="0" fontId="5" fillId="0" borderId="0" xfId="0" applyFont="1" applyFill="1" applyBorder="1"/>
    <xf numFmtId="0" fontId="4" fillId="0" borderId="56" xfId="0" applyFont="1" applyBorder="1"/>
    <xf numFmtId="0" fontId="3" fillId="0" borderId="23" xfId="0" applyFont="1" applyBorder="1"/>
    <xf numFmtId="0" fontId="3" fillId="0" borderId="57" xfId="0" applyFont="1" applyBorder="1"/>
    <xf numFmtId="0" fontId="3" fillId="0" borderId="56" xfId="0" applyFont="1" applyBorder="1"/>
    <xf numFmtId="0" fontId="3" fillId="16" borderId="41" xfId="0" applyFont="1" applyFill="1" applyBorder="1"/>
    <xf numFmtId="0" fontId="3" fillId="22" borderId="0" xfId="0" applyFont="1" applyFill="1" applyBorder="1"/>
    <xf numFmtId="0" fontId="0" fillId="22" borderId="0" xfId="0" applyFill="1" applyBorder="1"/>
    <xf numFmtId="0" fontId="0" fillId="16" borderId="0" xfId="0" applyFill="1" applyBorder="1" applyAlignment="1">
      <alignment horizontal="left" vertical="center"/>
    </xf>
    <xf numFmtId="0" fontId="0" fillId="16" borderId="35" xfId="0" applyFill="1" applyBorder="1" applyAlignment="1">
      <alignment horizontal="left" vertical="top"/>
    </xf>
    <xf numFmtId="0" fontId="0" fillId="16" borderId="39" xfId="0" applyFill="1" applyBorder="1"/>
    <xf numFmtId="0" fontId="0" fillId="22" borderId="0" xfId="0" applyFill="1" applyBorder="1" applyAlignment="1">
      <alignment horizontal="center" vertical="center"/>
    </xf>
    <xf numFmtId="0" fontId="0" fillId="16" borderId="22" xfId="0" applyFill="1" applyBorder="1" applyAlignment="1">
      <alignment horizontal="center"/>
    </xf>
    <xf numFmtId="0" fontId="0" fillId="16" borderId="41" xfId="0" applyFill="1" applyBorder="1" applyAlignment="1">
      <alignment horizontal="center" vertical="center"/>
    </xf>
    <xf numFmtId="0" fontId="0" fillId="16" borderId="39" xfId="0" applyFill="1" applyBorder="1" applyAlignment="1">
      <alignment horizontal="center"/>
    </xf>
    <xf numFmtId="0" fontId="3" fillId="16" borderId="53" xfId="0" applyFont="1" applyFill="1" applyBorder="1"/>
    <xf numFmtId="0" fontId="3" fillId="22" borderId="37" xfId="0" applyFont="1" applyFill="1" applyBorder="1"/>
    <xf numFmtId="0" fontId="0" fillId="22" borderId="37" xfId="0" applyFill="1" applyBorder="1"/>
    <xf numFmtId="0" fontId="0" fillId="16" borderId="37" xfId="0" applyFill="1" applyBorder="1" applyAlignment="1">
      <alignment horizontal="left" vertical="center"/>
    </xf>
    <xf numFmtId="0" fontId="0" fillId="16" borderId="58" xfId="0" applyFill="1" applyBorder="1" applyAlignment="1">
      <alignment horizontal="left" vertical="top"/>
    </xf>
    <xf numFmtId="0" fontId="0" fillId="16" borderId="21" xfId="0" applyFill="1" applyBorder="1"/>
    <xf numFmtId="1" fontId="0" fillId="22" borderId="0" xfId="0" applyNumberFormat="1" applyFill="1" applyBorder="1" applyAlignment="1">
      <alignment horizontal="center" vertical="center"/>
    </xf>
    <xf numFmtId="0" fontId="0" fillId="16" borderId="39" xfId="0" applyFill="1" applyBorder="1" applyAlignment="1">
      <alignment horizontal="center" vertical="center"/>
    </xf>
    <xf numFmtId="0" fontId="25" fillId="0" borderId="0" xfId="0" applyFont="1" applyFill="1" applyBorder="1"/>
    <xf numFmtId="0" fontId="4" fillId="0" borderId="0"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Fill="1"/>
    <xf numFmtId="0" fontId="3" fillId="0" borderId="0" xfId="0" applyFont="1" applyFill="1" applyBorder="1"/>
    <xf numFmtId="0" fontId="4" fillId="0" borderId="0" xfId="0" applyFont="1" applyAlignment="1">
      <alignment horizontal="left" vertical="center"/>
    </xf>
    <xf numFmtId="1" fontId="4"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xf>
    <xf numFmtId="1" fontId="4" fillId="0" borderId="0" xfId="0"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right"/>
    </xf>
    <xf numFmtId="0" fontId="0" fillId="29" borderId="0" xfId="0" applyFill="1"/>
    <xf numFmtId="2" fontId="0" fillId="29" borderId="0" xfId="0" applyNumberFormat="1" applyFill="1" applyAlignment="1">
      <alignment horizontal="center"/>
    </xf>
    <xf numFmtId="0" fontId="3" fillId="0" borderId="0" xfId="0" applyFont="1" applyAlignment="1" applyProtection="1">
      <alignment horizontal="left" vertical="top" wrapText="1"/>
    </xf>
    <xf numFmtId="0" fontId="0" fillId="21" borderId="16" xfId="0" applyFill="1" applyBorder="1" applyAlignment="1" applyProtection="1">
      <alignment horizontal="center" vertical="center"/>
    </xf>
    <xf numFmtId="0" fontId="5" fillId="8" borderId="1" xfId="0" applyFont="1" applyFill="1" applyBorder="1"/>
    <xf numFmtId="0" fontId="4" fillId="8" borderId="1"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xf>
    <xf numFmtId="0" fontId="3" fillId="8" borderId="5" xfId="0" applyFont="1" applyFill="1" applyBorder="1" applyAlignment="1">
      <alignment horizontal="center" vertical="center"/>
    </xf>
    <xf numFmtId="0" fontId="3" fillId="8" borderId="0" xfId="0" applyFont="1" applyFill="1" applyBorder="1" applyAlignment="1">
      <alignment horizontal="center" vertical="center"/>
    </xf>
    <xf numFmtId="0" fontId="3" fillId="8" borderId="10" xfId="0" applyFont="1" applyFill="1" applyBorder="1" applyAlignment="1">
      <alignment horizontal="center" vertical="center"/>
    </xf>
    <xf numFmtId="0" fontId="0" fillId="7" borderId="17" xfId="0" applyFill="1" applyBorder="1" applyAlignment="1" applyProtection="1">
      <alignment horizontal="center" vertical="center"/>
      <protection locked="0"/>
    </xf>
    <xf numFmtId="1" fontId="0" fillId="8" borderId="25" xfId="0" applyNumberFormat="1" applyFill="1" applyBorder="1" applyAlignment="1">
      <alignment horizontal="center" vertical="center"/>
    </xf>
    <xf numFmtId="0" fontId="0" fillId="8" borderId="40" xfId="0" applyFill="1" applyBorder="1"/>
    <xf numFmtId="0" fontId="0" fillId="8" borderId="51" xfId="0" applyFill="1" applyBorder="1"/>
    <xf numFmtId="1" fontId="4" fillId="2" borderId="28" xfId="0" applyNumberFormat="1" applyFont="1" applyFill="1" applyBorder="1" applyAlignment="1">
      <alignment horizontal="center" vertical="center"/>
    </xf>
    <xf numFmtId="0" fontId="0" fillId="8" borderId="42" xfId="0" applyFill="1" applyBorder="1" applyAlignment="1">
      <alignment horizontal="center" vertical="center" wrapText="1"/>
    </xf>
    <xf numFmtId="0" fontId="4" fillId="7" borderId="16" xfId="0" applyFont="1" applyFill="1" applyBorder="1" applyAlignment="1" applyProtection="1">
      <alignment horizontal="center" vertical="center" wrapText="1"/>
      <protection locked="0"/>
    </xf>
    <xf numFmtId="0" fontId="4" fillId="8" borderId="10" xfId="0" applyFont="1" applyFill="1" applyBorder="1" applyAlignment="1">
      <alignment horizontal="left" vertical="center"/>
    </xf>
    <xf numFmtId="0" fontId="3" fillId="8" borderId="59" xfId="0" applyFont="1" applyFill="1" applyBorder="1" applyAlignment="1">
      <alignment horizontal="center" vertical="center"/>
    </xf>
    <xf numFmtId="1" fontId="0" fillId="7" borderId="24" xfId="0" applyNumberFormat="1" applyFill="1" applyBorder="1" applyAlignment="1" applyProtection="1">
      <alignment horizontal="center" vertical="center"/>
      <protection locked="0"/>
    </xf>
    <xf numFmtId="164" fontId="0" fillId="8" borderId="17" xfId="0" applyNumberFormat="1" applyFill="1" applyBorder="1" applyAlignment="1">
      <alignment horizontal="center" vertical="center"/>
    </xf>
    <xf numFmtId="0" fontId="0" fillId="8" borderId="40" xfId="0" applyFill="1" applyBorder="1" applyAlignment="1">
      <alignment horizontal="center" vertical="center"/>
    </xf>
    <xf numFmtId="0" fontId="0" fillId="8" borderId="51" xfId="0" applyFill="1" applyBorder="1" applyAlignment="1">
      <alignment horizontal="center" vertical="center"/>
    </xf>
    <xf numFmtId="0" fontId="3" fillId="8" borderId="5" xfId="0" applyFont="1" applyFill="1" applyBorder="1" applyAlignment="1">
      <alignment horizontal="center" vertical="center" wrapText="1"/>
    </xf>
    <xf numFmtId="0" fontId="3" fillId="8" borderId="0" xfId="0" applyFont="1" applyFill="1" applyBorder="1" applyAlignment="1">
      <alignment horizontal="center" vertical="center" wrapText="1"/>
    </xf>
    <xf numFmtId="1" fontId="4" fillId="16" borderId="28" xfId="0" applyNumberFormat="1" applyFont="1" applyFill="1" applyBorder="1" applyAlignment="1">
      <alignment horizontal="center" vertical="center"/>
    </xf>
    <xf numFmtId="2" fontId="0" fillId="7" borderId="52" xfId="0" applyNumberFormat="1" applyFill="1" applyBorder="1" applyAlignment="1" applyProtection="1">
      <alignment horizontal="center" vertical="center"/>
      <protection locked="0"/>
    </xf>
    <xf numFmtId="1" fontId="0" fillId="8" borderId="54" xfId="0" applyNumberFormat="1" applyFill="1" applyBorder="1" applyAlignment="1">
      <alignment horizontal="center" vertical="center"/>
    </xf>
    <xf numFmtId="1" fontId="4" fillId="30" borderId="28" xfId="0" applyNumberFormat="1" applyFont="1" applyFill="1" applyBorder="1" applyAlignment="1">
      <alignment horizontal="center" vertical="center"/>
    </xf>
    <xf numFmtId="0" fontId="4" fillId="8" borderId="5" xfId="0" applyFont="1" applyFill="1" applyBorder="1" applyAlignment="1">
      <alignment horizontal="center" vertical="center"/>
    </xf>
    <xf numFmtId="0" fontId="0" fillId="8" borderId="46" xfId="0" applyFill="1" applyBorder="1"/>
    <xf numFmtId="0" fontId="3" fillId="8" borderId="19" xfId="0" applyFont="1" applyFill="1" applyBorder="1" applyAlignment="1">
      <alignment horizontal="center" vertical="center"/>
    </xf>
    <xf numFmtId="0" fontId="3" fillId="8" borderId="46" xfId="0" applyFont="1" applyFill="1" applyBorder="1" applyAlignment="1">
      <alignment horizontal="center" vertical="center" wrapText="1"/>
    </xf>
    <xf numFmtId="2" fontId="4" fillId="7" borderId="28" xfId="0" applyNumberFormat="1" applyFont="1" applyFill="1" applyBorder="1" applyAlignment="1" applyProtection="1">
      <alignment horizontal="center"/>
      <protection locked="0"/>
    </xf>
    <xf numFmtId="0" fontId="5" fillId="15" borderId="1" xfId="0" applyFont="1" applyFill="1" applyBorder="1" applyProtection="1"/>
    <xf numFmtId="0" fontId="0" fillId="15" borderId="8" xfId="0" applyFill="1" applyBorder="1" applyProtection="1"/>
    <xf numFmtId="0" fontId="3" fillId="15" borderId="5" xfId="0" applyFont="1" applyFill="1" applyBorder="1" applyProtection="1"/>
    <xf numFmtId="0" fontId="0" fillId="15" borderId="0" xfId="0" applyFill="1" applyBorder="1" applyProtection="1"/>
    <xf numFmtId="0" fontId="4" fillId="15" borderId="5" xfId="0" applyFont="1" applyFill="1" applyBorder="1" applyProtection="1"/>
    <xf numFmtId="0" fontId="3" fillId="15" borderId="0" xfId="0" applyFont="1" applyFill="1" applyBorder="1" applyProtection="1"/>
    <xf numFmtId="164" fontId="4" fillId="15" borderId="0" xfId="0" applyNumberFormat="1" applyFont="1" applyFill="1" applyBorder="1" applyAlignment="1" applyProtection="1">
      <alignment horizontal="center" vertical="center"/>
    </xf>
    <xf numFmtId="0" fontId="4" fillId="15" borderId="0" xfId="0" applyFont="1" applyFill="1" applyBorder="1" applyAlignment="1" applyProtection="1">
      <alignment horizontal="center" vertical="center"/>
    </xf>
    <xf numFmtId="0" fontId="3" fillId="15" borderId="3" xfId="0" applyFont="1" applyFill="1" applyBorder="1" applyProtection="1"/>
    <xf numFmtId="0" fontId="3" fillId="15" borderId="11" xfId="0" applyFont="1" applyFill="1" applyBorder="1" applyProtection="1"/>
    <xf numFmtId="0" fontId="4" fillId="2" borderId="1" xfId="0" applyFont="1" applyFill="1" applyBorder="1" applyProtection="1"/>
    <xf numFmtId="0" fontId="4" fillId="15" borderId="8" xfId="0" applyFont="1" applyFill="1" applyBorder="1" applyAlignment="1" applyProtection="1">
      <alignment horizontal="center" vertical="center"/>
    </xf>
    <xf numFmtId="0" fontId="0" fillId="2" borderId="5" xfId="0" applyFill="1" applyBorder="1" applyProtection="1"/>
    <xf numFmtId="0" fontId="3" fillId="15" borderId="0" xfId="0" applyFont="1" applyFill="1" applyBorder="1" applyAlignment="1" applyProtection="1">
      <alignment horizontal="center" vertical="center"/>
    </xf>
    <xf numFmtId="0" fontId="3" fillId="15" borderId="42" xfId="0" applyFont="1" applyFill="1" applyBorder="1" applyProtection="1"/>
    <xf numFmtId="0" fontId="0" fillId="15" borderId="16" xfId="0" applyFill="1" applyBorder="1" applyAlignment="1" applyProtection="1">
      <alignment horizontal="center" vertical="center"/>
    </xf>
    <xf numFmtId="1" fontId="0" fillId="15" borderId="16" xfId="0" applyNumberFormat="1" applyFill="1" applyBorder="1" applyAlignment="1" applyProtection="1">
      <alignment horizontal="center" vertical="center"/>
    </xf>
    <xf numFmtId="0" fontId="0" fillId="15" borderId="19" xfId="0" applyFill="1" applyBorder="1" applyProtection="1"/>
    <xf numFmtId="0" fontId="4" fillId="15" borderId="40" xfId="0" applyFont="1" applyFill="1" applyBorder="1" applyProtection="1"/>
    <xf numFmtId="0" fontId="0" fillId="15" borderId="51" xfId="0" applyFill="1" applyBorder="1" applyAlignment="1" applyProtection="1">
      <alignment horizontal="center" vertical="center"/>
    </xf>
    <xf numFmtId="1" fontId="4" fillId="2" borderId="27" xfId="0" applyNumberFormat="1" applyFont="1" applyFill="1" applyBorder="1" applyAlignment="1" applyProtection="1">
      <alignment horizontal="center" vertical="center"/>
    </xf>
    <xf numFmtId="0" fontId="0" fillId="15" borderId="51" xfId="0" applyFill="1" applyBorder="1" applyProtection="1"/>
    <xf numFmtId="0" fontId="0" fillId="15" borderId="5" xfId="0" applyFill="1" applyBorder="1" applyAlignment="1" applyProtection="1">
      <alignment wrapText="1"/>
    </xf>
    <xf numFmtId="0" fontId="4" fillId="15" borderId="17" xfId="0" applyFont="1" applyFill="1" applyBorder="1" applyAlignment="1" applyProtection="1">
      <alignment horizontal="right" vertical="top"/>
    </xf>
    <xf numFmtId="0" fontId="4" fillId="15" borderId="16" xfId="0" applyFont="1" applyFill="1" applyBorder="1" applyAlignment="1" applyProtection="1">
      <alignment horizontal="center" vertical="center" wrapText="1"/>
    </xf>
    <xf numFmtId="0" fontId="4" fillId="15" borderId="19" xfId="0" applyFont="1" applyFill="1" applyBorder="1" applyAlignment="1" applyProtection="1">
      <alignment wrapText="1"/>
    </xf>
    <xf numFmtId="0" fontId="0" fillId="15" borderId="19" xfId="0" applyFill="1" applyBorder="1" applyAlignment="1" applyProtection="1">
      <alignment wrapText="1"/>
    </xf>
    <xf numFmtId="0" fontId="4" fillId="18" borderId="5" xfId="0" applyFont="1" applyFill="1" applyBorder="1" applyAlignment="1" applyProtection="1">
      <alignment wrapText="1"/>
    </xf>
    <xf numFmtId="0" fontId="3" fillId="15" borderId="16" xfId="0" applyFont="1" applyFill="1" applyBorder="1" applyAlignment="1" applyProtection="1">
      <alignment horizontal="center" vertical="center"/>
    </xf>
    <xf numFmtId="164" fontId="0" fillId="15" borderId="16" xfId="0" applyNumberFormat="1" applyFill="1" applyBorder="1" applyAlignment="1" applyProtection="1">
      <alignment horizontal="center" vertical="center"/>
    </xf>
    <xf numFmtId="1" fontId="4" fillId="18" borderId="16" xfId="0" applyNumberFormat="1" applyFont="1" applyFill="1" applyBorder="1" applyAlignment="1" applyProtection="1">
      <alignment horizontal="center" vertical="center"/>
    </xf>
    <xf numFmtId="0" fontId="0" fillId="15" borderId="1" xfId="0" applyFill="1" applyBorder="1" applyProtection="1"/>
    <xf numFmtId="0" fontId="4" fillId="16" borderId="5" xfId="0" applyFont="1" applyFill="1" applyBorder="1" applyProtection="1"/>
    <xf numFmtId="0" fontId="3" fillId="15" borderId="0" xfId="0" applyFont="1" applyFill="1" applyBorder="1" applyAlignment="1" applyProtection="1">
      <alignment horizontal="center" vertical="center" wrapText="1"/>
    </xf>
    <xf numFmtId="2" fontId="0" fillId="15" borderId="16" xfId="0" applyNumberFormat="1" applyFill="1" applyBorder="1" applyAlignment="1" applyProtection="1">
      <alignment horizontal="center" vertical="center"/>
    </xf>
    <xf numFmtId="165" fontId="0" fillId="15" borderId="16" xfId="0" applyNumberFormat="1" applyFill="1" applyBorder="1" applyAlignment="1" applyProtection="1">
      <alignment horizontal="center" vertical="center"/>
    </xf>
    <xf numFmtId="1" fontId="4" fillId="16" borderId="27" xfId="0" applyNumberFormat="1" applyFont="1" applyFill="1" applyBorder="1" applyAlignment="1" applyProtection="1">
      <alignment horizontal="center" vertical="center"/>
    </xf>
    <xf numFmtId="0" fontId="4" fillId="30" borderId="5" xfId="0" applyFont="1" applyFill="1" applyBorder="1" applyProtection="1"/>
    <xf numFmtId="0" fontId="3" fillId="15" borderId="48" xfId="0" applyFont="1" applyFill="1" applyBorder="1" applyProtection="1"/>
    <xf numFmtId="2" fontId="0" fillId="15" borderId="43" xfId="0" applyNumberFormat="1" applyFill="1" applyBorder="1" applyAlignment="1" applyProtection="1">
      <alignment horizontal="center" vertical="center"/>
    </xf>
    <xf numFmtId="1" fontId="0" fillId="15" borderId="43" xfId="0" applyNumberFormat="1" applyFill="1" applyBorder="1" applyAlignment="1" applyProtection="1">
      <alignment horizontal="center" vertical="center"/>
    </xf>
    <xf numFmtId="0" fontId="0" fillId="15" borderId="49" xfId="0" applyFill="1" applyBorder="1" applyProtection="1"/>
    <xf numFmtId="0" fontId="4" fillId="15" borderId="44" xfId="0" applyFont="1" applyFill="1" applyBorder="1" applyProtection="1"/>
    <xf numFmtId="0" fontId="0" fillId="15" borderId="0" xfId="0" applyFill="1" applyBorder="1" applyAlignment="1" applyProtection="1">
      <alignment horizontal="center" vertical="center"/>
    </xf>
    <xf numFmtId="1" fontId="4" fillId="30" borderId="22" xfId="0" applyNumberFormat="1" applyFont="1" applyFill="1" applyBorder="1" applyAlignment="1" applyProtection="1">
      <alignment horizontal="center" vertical="center"/>
    </xf>
    <xf numFmtId="0" fontId="0" fillId="15" borderId="23" xfId="0" applyFill="1" applyBorder="1" applyProtection="1"/>
    <xf numFmtId="0" fontId="0" fillId="15" borderId="9" xfId="0" applyFill="1" applyBorder="1" applyProtection="1"/>
    <xf numFmtId="0" fontId="5" fillId="15" borderId="5" xfId="0" applyFont="1" applyFill="1" applyBorder="1" applyProtection="1"/>
    <xf numFmtId="0" fontId="0" fillId="15" borderId="10" xfId="0" applyFill="1" applyBorder="1" applyProtection="1"/>
    <xf numFmtId="0" fontId="4" fillId="18" borderId="42" xfId="0" applyFont="1" applyFill="1" applyBorder="1" applyProtection="1"/>
    <xf numFmtId="0" fontId="4" fillId="16" borderId="42" xfId="0" applyFont="1" applyFill="1" applyBorder="1" applyProtection="1"/>
    <xf numFmtId="1" fontId="4" fillId="16" borderId="16" xfId="0" applyNumberFormat="1" applyFont="1" applyFill="1" applyBorder="1" applyAlignment="1" applyProtection="1">
      <alignment horizontal="center" vertical="center"/>
    </xf>
    <xf numFmtId="0" fontId="4" fillId="30" borderId="42" xfId="0" applyFont="1" applyFill="1" applyBorder="1" applyProtection="1"/>
    <xf numFmtId="1" fontId="4" fillId="30" borderId="16" xfId="0" applyNumberFormat="1" applyFont="1" applyFill="1" applyBorder="1" applyAlignment="1" applyProtection="1">
      <alignment horizontal="center" vertical="center"/>
    </xf>
    <xf numFmtId="0" fontId="3" fillId="15" borderId="16" xfId="0" applyFont="1" applyFill="1" applyBorder="1" applyAlignment="1" applyProtection="1">
      <alignment horizontal="center" vertical="center" wrapText="1"/>
    </xf>
    <xf numFmtId="0" fontId="4" fillId="2" borderId="40" xfId="0" applyFont="1" applyFill="1" applyBorder="1" applyProtection="1"/>
    <xf numFmtId="0" fontId="4" fillId="2" borderId="27" xfId="0" applyFont="1" applyFill="1" applyBorder="1" applyAlignment="1" applyProtection="1">
      <alignment horizontal="center" vertical="center"/>
    </xf>
    <xf numFmtId="0" fontId="4" fillId="20" borderId="27" xfId="0" applyFont="1" applyFill="1" applyBorder="1" applyAlignment="1" applyProtection="1">
      <alignment horizontal="center" vertical="center"/>
    </xf>
    <xf numFmtId="2" fontId="4" fillId="15" borderId="27" xfId="0" applyNumberFormat="1" applyFont="1" applyFill="1" applyBorder="1" applyAlignment="1" applyProtection="1">
      <alignment horizontal="center"/>
    </xf>
    <xf numFmtId="0" fontId="4" fillId="0" borderId="0" xfId="0" applyFont="1" applyFill="1" applyBorder="1" applyProtection="1"/>
    <xf numFmtId="164" fontId="4" fillId="0" borderId="0" xfId="0" applyNumberFormat="1" applyFont="1" applyFill="1" applyBorder="1" applyAlignment="1" applyProtection="1">
      <alignment horizontal="center" vertical="center"/>
    </xf>
    <xf numFmtId="0" fontId="0" fillId="0" borderId="0" xfId="0" quotePrefix="1" applyFill="1" applyProtection="1"/>
    <xf numFmtId="0" fontId="3" fillId="0" borderId="0" xfId="0" quotePrefix="1" applyFont="1" applyFill="1" applyBorder="1" applyProtection="1"/>
    <xf numFmtId="0" fontId="4" fillId="20" borderId="51" xfId="0" applyFont="1" applyFill="1" applyBorder="1" applyAlignment="1">
      <alignment horizontal="center" vertical="center"/>
    </xf>
    <xf numFmtId="1" fontId="4" fillId="4" borderId="60" xfId="0" applyNumberFormat="1" applyFont="1" applyFill="1" applyBorder="1" applyAlignment="1">
      <alignment horizontal="center" vertical="center"/>
    </xf>
    <xf numFmtId="0" fontId="0" fillId="8" borderId="49" xfId="0" applyFill="1" applyBorder="1"/>
    <xf numFmtId="0" fontId="0" fillId="8" borderId="50" xfId="0" applyFill="1" applyBorder="1"/>
    <xf numFmtId="0" fontId="4" fillId="2" borderId="26" xfId="0" applyFont="1" applyFill="1" applyBorder="1" applyAlignment="1" applyProtection="1">
      <alignment horizontal="center"/>
    </xf>
    <xf numFmtId="1" fontId="4" fillId="18" borderId="27" xfId="0" applyNumberFormat="1" applyFont="1" applyFill="1" applyBorder="1" applyAlignment="1" applyProtection="1">
      <alignment horizontal="center" vertical="center"/>
    </xf>
    <xf numFmtId="1" fontId="4" fillId="18" borderId="28" xfId="0" applyNumberFormat="1" applyFont="1" applyFill="1" applyBorder="1" applyAlignment="1">
      <alignment horizontal="center" vertical="center"/>
    </xf>
    <xf numFmtId="0" fontId="4" fillId="4" borderId="36" xfId="0" applyFont="1" applyFill="1" applyBorder="1" applyProtection="1"/>
    <xf numFmtId="0" fontId="4" fillId="15" borderId="42" xfId="0" applyFont="1" applyFill="1" applyBorder="1" applyProtection="1"/>
    <xf numFmtId="1" fontId="4" fillId="4" borderId="31" xfId="0" applyNumberFormat="1" applyFont="1" applyFill="1" applyBorder="1" applyAlignment="1" applyProtection="1">
      <alignment horizontal="center" vertical="center"/>
    </xf>
    <xf numFmtId="0" fontId="0" fillId="0" borderId="0" xfId="0" applyAlignment="1" applyProtection="1">
      <alignment horizontal="left" vertical="center"/>
      <protection hidden="1"/>
    </xf>
    <xf numFmtId="0" fontId="1" fillId="0" borderId="0" xfId="0" applyFont="1" applyProtection="1">
      <protection hidden="1"/>
    </xf>
    <xf numFmtId="0" fontId="0" fillId="0" borderId="0" xfId="0" applyAlignment="1" applyProtection="1">
      <alignment horizontal="center"/>
    </xf>
    <xf numFmtId="0" fontId="1" fillId="0" borderId="0" xfId="0" applyFont="1" applyAlignment="1" applyProtection="1">
      <alignment horizontal="center" vertical="center"/>
    </xf>
    <xf numFmtId="0" fontId="0" fillId="25" borderId="0" xfId="0" applyFill="1" applyProtection="1"/>
    <xf numFmtId="0" fontId="0" fillId="4" borderId="16" xfId="0" applyFill="1" applyBorder="1" applyAlignment="1" applyProtection="1">
      <alignment horizontal="center" vertical="center"/>
    </xf>
    <xf numFmtId="0" fontId="0" fillId="4" borderId="16" xfId="0" applyFill="1" applyBorder="1" applyAlignment="1" applyProtection="1">
      <alignment horizontal="left" vertical="center"/>
    </xf>
    <xf numFmtId="0" fontId="0" fillId="4" borderId="16" xfId="0" applyFill="1" applyBorder="1" applyProtection="1"/>
    <xf numFmtId="2" fontId="0" fillId="0" borderId="0" xfId="0" applyNumberFormat="1" applyFill="1" applyBorder="1" applyAlignment="1" applyProtection="1">
      <alignment horizontal="left"/>
    </xf>
    <xf numFmtId="0" fontId="0" fillId="10" borderId="0" xfId="0" applyFill="1" applyProtection="1"/>
    <xf numFmtId="0" fontId="1" fillId="10" borderId="0" xfId="0" applyFont="1" applyFill="1" applyProtection="1"/>
    <xf numFmtId="0" fontId="21" fillId="0" borderId="0" xfId="0" applyFont="1" applyProtection="1"/>
    <xf numFmtId="0" fontId="0" fillId="8" borderId="8" xfId="0" applyFill="1" applyBorder="1" applyProtection="1"/>
    <xf numFmtId="0" fontId="1" fillId="0" borderId="0" xfId="0" applyFont="1" applyAlignment="1" applyProtection="1">
      <alignment horizontal="center"/>
    </xf>
    <xf numFmtId="0" fontId="11" fillId="8" borderId="0" xfId="0" applyFont="1" applyFill="1" applyBorder="1" applyProtection="1"/>
    <xf numFmtId="0" fontId="0" fillId="8" borderId="0" xfId="0" applyFill="1" applyBorder="1" applyProtection="1"/>
    <xf numFmtId="0" fontId="1" fillId="8" borderId="0" xfId="0" applyFont="1" applyFill="1" applyBorder="1" applyProtection="1"/>
    <xf numFmtId="0" fontId="0" fillId="8" borderId="16" xfId="0" applyFill="1" applyBorder="1" applyProtection="1"/>
    <xf numFmtId="0" fontId="0" fillId="16" borderId="16" xfId="0" applyFill="1" applyBorder="1" applyAlignment="1" applyProtection="1">
      <alignment horizontal="center" vertical="center"/>
    </xf>
    <xf numFmtId="164" fontId="0" fillId="8" borderId="5" xfId="0" applyNumberFormat="1" applyFill="1" applyBorder="1" applyProtection="1"/>
    <xf numFmtId="0" fontId="0" fillId="10" borderId="16" xfId="0" applyFill="1" applyBorder="1" applyAlignment="1" applyProtection="1">
      <alignment horizontal="right" vertical="center"/>
    </xf>
    <xf numFmtId="0" fontId="0" fillId="10" borderId="0" xfId="0" applyFill="1" applyAlignment="1" applyProtection="1">
      <alignment horizontal="right"/>
    </xf>
    <xf numFmtId="0" fontId="0" fillId="16" borderId="0" xfId="0" applyFill="1" applyAlignment="1" applyProtection="1">
      <alignment horizontal="center" vertical="center"/>
    </xf>
    <xf numFmtId="164" fontId="0" fillId="0" borderId="0" xfId="0" applyNumberFormat="1" applyFill="1" applyBorder="1" applyAlignment="1" applyProtection="1">
      <alignment horizontal="center"/>
    </xf>
    <xf numFmtId="164" fontId="0" fillId="0" borderId="0" xfId="0" applyNumberFormat="1" applyFill="1" applyAlignment="1" applyProtection="1">
      <alignment horizontal="center"/>
    </xf>
    <xf numFmtId="0" fontId="0" fillId="8" borderId="16" xfId="0" applyFill="1" applyBorder="1" applyAlignment="1" applyProtection="1">
      <alignment horizontal="center" vertical="center"/>
    </xf>
    <xf numFmtId="0" fontId="0" fillId="0" borderId="0" xfId="0" applyAlignment="1" applyProtection="1">
      <alignment horizontal="right" vertical="center"/>
    </xf>
    <xf numFmtId="164" fontId="0" fillId="0" borderId="0" xfId="0" applyNumberFormat="1" applyFill="1" applyAlignment="1" applyProtection="1">
      <alignment horizontal="center" vertical="center"/>
    </xf>
    <xf numFmtId="0" fontId="0" fillId="16" borderId="0" xfId="0" applyFill="1" applyBorder="1" applyAlignment="1" applyProtection="1">
      <alignment horizontal="center" vertical="center"/>
    </xf>
    <xf numFmtId="0" fontId="0" fillId="16" borderId="17" xfId="0" applyFill="1" applyBorder="1" applyAlignment="1" applyProtection="1">
      <alignment horizontal="center" vertical="center"/>
    </xf>
    <xf numFmtId="1" fontId="0" fillId="16" borderId="16" xfId="0" applyNumberFormat="1" applyFill="1" applyBorder="1" applyAlignment="1" applyProtection="1">
      <alignment horizontal="center" vertical="center"/>
    </xf>
    <xf numFmtId="164" fontId="0" fillId="21" borderId="16" xfId="0" applyNumberFormat="1" applyFill="1" applyBorder="1" applyAlignment="1" applyProtection="1">
      <alignment horizontal="center" vertical="center"/>
    </xf>
    <xf numFmtId="0" fontId="0" fillId="21" borderId="0" xfId="0" applyFill="1" applyBorder="1" applyProtection="1"/>
    <xf numFmtId="0" fontId="0" fillId="21" borderId="0" xfId="0" applyFill="1" applyProtection="1"/>
    <xf numFmtId="0" fontId="0" fillId="8" borderId="11" xfId="0" applyFill="1" applyBorder="1" applyProtection="1"/>
    <xf numFmtId="0" fontId="0" fillId="10" borderId="0" xfId="0" applyFill="1" applyBorder="1" applyProtection="1"/>
    <xf numFmtId="0" fontId="1" fillId="0" borderId="0" xfId="0" applyFont="1" applyBorder="1" applyProtection="1"/>
    <xf numFmtId="0" fontId="0" fillId="8" borderId="17" xfId="0" applyFill="1" applyBorder="1" applyProtection="1"/>
    <xf numFmtId="0" fontId="0" fillId="8" borderId="19" xfId="0" applyFill="1" applyBorder="1" applyProtection="1"/>
    <xf numFmtId="0" fontId="1" fillId="8" borderId="17" xfId="0" applyFont="1" applyFill="1" applyBorder="1" applyProtection="1"/>
    <xf numFmtId="0" fontId="0" fillId="8" borderId="19" xfId="0" applyFill="1" applyBorder="1" applyAlignment="1" applyProtection="1"/>
    <xf numFmtId="0" fontId="0" fillId="8" borderId="18" xfId="0" applyFill="1" applyBorder="1" applyAlignment="1" applyProtection="1"/>
    <xf numFmtId="0" fontId="1" fillId="10" borderId="16" xfId="0" applyFont="1" applyFill="1" applyBorder="1" applyAlignment="1" applyProtection="1">
      <alignment horizontal="center" vertical="center"/>
    </xf>
    <xf numFmtId="9" fontId="0" fillId="0" borderId="0" xfId="0" applyNumberFormat="1" applyFill="1" applyAlignment="1" applyProtection="1">
      <alignment horizontal="center" vertical="center"/>
    </xf>
    <xf numFmtId="0" fontId="0" fillId="8" borderId="19" xfId="0" quotePrefix="1" applyFill="1" applyBorder="1" applyAlignment="1" applyProtection="1"/>
    <xf numFmtId="0" fontId="0" fillId="8" borderId="18" xfId="0" quotePrefix="1" applyFill="1" applyBorder="1" applyAlignment="1" applyProtection="1"/>
    <xf numFmtId="0" fontId="15" fillId="0" borderId="0" xfId="0" applyFont="1" applyProtection="1"/>
    <xf numFmtId="0" fontId="0" fillId="0" borderId="0" xfId="0" applyAlignment="1" applyProtection="1">
      <alignment horizontal="right"/>
    </xf>
    <xf numFmtId="1" fontId="0" fillId="22" borderId="16" xfId="0" applyNumberFormat="1" applyFill="1" applyBorder="1" applyAlignment="1" applyProtection="1">
      <alignment horizontal="center" vertical="center"/>
    </xf>
    <xf numFmtId="0" fontId="0" fillId="10" borderId="0" xfId="0" quotePrefix="1" applyFill="1" applyBorder="1" applyProtection="1"/>
    <xf numFmtId="0" fontId="0" fillId="10" borderId="0" xfId="0" applyFill="1" applyAlignment="1" applyProtection="1">
      <alignment vertical="center"/>
    </xf>
    <xf numFmtId="0" fontId="22" fillId="10" borderId="0" xfId="0" applyFont="1" applyFill="1" applyAlignment="1" applyProtection="1">
      <alignment vertical="center"/>
    </xf>
    <xf numFmtId="0" fontId="22" fillId="13" borderId="0" xfId="0" applyFont="1" applyFill="1" applyAlignment="1" applyProtection="1">
      <alignment horizontal="center" vertical="center"/>
    </xf>
    <xf numFmtId="0" fontId="0" fillId="8" borderId="17" xfId="0" applyFont="1" applyFill="1" applyBorder="1" applyProtection="1"/>
    <xf numFmtId="0" fontId="1" fillId="10" borderId="0" xfId="0" applyFont="1" applyFill="1" applyBorder="1" applyProtection="1"/>
    <xf numFmtId="0" fontId="0" fillId="10" borderId="0" xfId="0" applyFill="1" applyBorder="1" applyAlignment="1" applyProtection="1">
      <alignment horizontal="center"/>
    </xf>
    <xf numFmtId="0" fontId="0" fillId="13" borderId="0" xfId="0" applyFill="1" applyAlignment="1" applyProtection="1">
      <alignment horizontal="center" vertical="center"/>
    </xf>
    <xf numFmtId="0" fontId="0" fillId="10" borderId="31" xfId="0" applyFill="1" applyBorder="1" applyAlignment="1" applyProtection="1">
      <alignment horizontal="center" vertical="center"/>
    </xf>
    <xf numFmtId="0" fontId="0" fillId="10" borderId="2" xfId="0" applyFill="1" applyBorder="1" applyAlignment="1" applyProtection="1">
      <alignment horizontal="center" vertical="center"/>
    </xf>
    <xf numFmtId="0" fontId="0" fillId="10" borderId="17" xfId="0" applyFill="1" applyBorder="1" applyProtection="1"/>
    <xf numFmtId="0" fontId="0" fillId="10" borderId="19" xfId="0" applyFill="1" applyBorder="1" applyProtection="1"/>
    <xf numFmtId="0" fontId="0" fillId="10" borderId="16" xfId="0" applyFill="1" applyBorder="1" applyAlignment="1" applyProtection="1">
      <alignment horizontal="left" vertical="center"/>
    </xf>
    <xf numFmtId="0" fontId="0" fillId="10" borderId="0" xfId="0" applyFill="1" applyBorder="1" applyAlignment="1" applyProtection="1">
      <alignment horizontal="left" vertical="center"/>
    </xf>
    <xf numFmtId="0" fontId="0" fillId="10" borderId="16" xfId="0" applyFill="1" applyBorder="1" applyProtection="1"/>
    <xf numFmtId="0" fontId="0" fillId="10" borderId="32" xfId="0" applyFill="1" applyBorder="1" applyProtection="1"/>
    <xf numFmtId="165" fontId="0" fillId="21" borderId="16" xfId="0" applyNumberFormat="1" applyFill="1" applyBorder="1" applyAlignment="1" applyProtection="1">
      <alignment horizontal="center" vertical="center"/>
    </xf>
    <xf numFmtId="0" fontId="0" fillId="10" borderId="19" xfId="0" applyFill="1" applyBorder="1" applyAlignment="1" applyProtection="1">
      <alignment horizontal="center" vertical="center"/>
    </xf>
    <xf numFmtId="2" fontId="0" fillId="21" borderId="0" xfId="0" applyNumberFormat="1" applyFill="1" applyBorder="1" applyAlignment="1" applyProtection="1">
      <alignment horizontal="center" vertical="center"/>
    </xf>
    <xf numFmtId="2" fontId="0" fillId="10" borderId="16" xfId="0" applyNumberFormat="1" applyFill="1" applyBorder="1" applyAlignment="1" applyProtection="1">
      <alignment horizontal="center" vertical="center"/>
    </xf>
    <xf numFmtId="2" fontId="0" fillId="10" borderId="17" xfId="0" applyNumberFormat="1" applyFill="1" applyBorder="1" applyAlignment="1" applyProtection="1">
      <alignment horizontal="center" vertical="center"/>
    </xf>
    <xf numFmtId="2" fontId="0" fillId="10" borderId="32" xfId="0" applyNumberFormat="1" applyFill="1" applyBorder="1" applyAlignment="1" applyProtection="1">
      <alignment horizontal="center" vertical="center"/>
    </xf>
    <xf numFmtId="0" fontId="0" fillId="10" borderId="16" xfId="0" applyFill="1" applyBorder="1" applyAlignment="1" applyProtection="1">
      <alignment horizontal="left"/>
    </xf>
    <xf numFmtId="2" fontId="0" fillId="21" borderId="32" xfId="0" applyNumberFormat="1" applyFill="1" applyBorder="1" applyAlignment="1" applyProtection="1">
      <alignment horizontal="center" vertical="center"/>
    </xf>
    <xf numFmtId="2" fontId="0" fillId="10" borderId="16" xfId="0" applyNumberFormat="1" applyFill="1" applyBorder="1" applyAlignment="1" applyProtection="1">
      <alignment horizontal="left" vertical="center"/>
    </xf>
    <xf numFmtId="165" fontId="0" fillId="21" borderId="16" xfId="0" applyNumberFormat="1" applyFill="1" applyBorder="1" applyProtection="1"/>
    <xf numFmtId="0" fontId="1" fillId="10" borderId="0" xfId="0" applyFont="1" applyFill="1" applyAlignment="1" applyProtection="1">
      <alignment horizontal="center" vertical="center"/>
    </xf>
    <xf numFmtId="0" fontId="0" fillId="10" borderId="33" xfId="0" applyFill="1" applyBorder="1" applyProtection="1"/>
    <xf numFmtId="0" fontId="0" fillId="0" borderId="0" xfId="0" applyFill="1" applyBorder="1" applyAlignment="1" applyProtection="1">
      <alignment vertical="center"/>
    </xf>
    <xf numFmtId="0" fontId="0" fillId="21" borderId="16" xfId="0" applyFill="1" applyBorder="1" applyAlignment="1" applyProtection="1">
      <alignment horizontal="left" vertical="center"/>
    </xf>
    <xf numFmtId="1" fontId="0" fillId="21" borderId="16" xfId="0" applyNumberFormat="1" applyFill="1" applyBorder="1" applyAlignment="1" applyProtection="1">
      <alignment horizontal="center" vertical="center"/>
    </xf>
    <xf numFmtId="1" fontId="0" fillId="21" borderId="0" xfId="0" applyNumberFormat="1" applyFill="1" applyBorder="1" applyAlignment="1" applyProtection="1">
      <alignment horizontal="center" vertical="center"/>
    </xf>
    <xf numFmtId="0" fontId="0" fillId="5" borderId="0" xfId="0" applyFill="1" applyProtection="1"/>
    <xf numFmtId="0" fontId="0" fillId="10" borderId="1" xfId="0" applyFill="1" applyBorder="1" applyProtection="1"/>
    <xf numFmtId="0" fontId="0" fillId="10" borderId="8" xfId="0" applyFill="1" applyBorder="1" applyProtection="1"/>
    <xf numFmtId="0" fontId="1" fillId="10" borderId="8" xfId="0" applyFont="1" applyFill="1" applyBorder="1" applyProtection="1"/>
    <xf numFmtId="0" fontId="0" fillId="10" borderId="1" xfId="0" applyFill="1" applyBorder="1" applyAlignment="1" applyProtection="1">
      <alignment horizontal="left"/>
    </xf>
    <xf numFmtId="0" fontId="11" fillId="10" borderId="8" xfId="0" applyFont="1" applyFill="1" applyBorder="1" applyProtection="1"/>
    <xf numFmtId="0" fontId="0" fillId="10" borderId="9" xfId="0" applyFill="1" applyBorder="1" applyProtection="1"/>
    <xf numFmtId="0" fontId="0" fillId="10" borderId="5" xfId="0" applyFill="1" applyBorder="1" applyProtection="1"/>
    <xf numFmtId="0" fontId="11" fillId="10" borderId="0" xfId="0" applyFont="1" applyFill="1" applyBorder="1" applyProtection="1"/>
    <xf numFmtId="0" fontId="0" fillId="10" borderId="0" xfId="0" applyFill="1" applyBorder="1" applyAlignment="1" applyProtection="1"/>
    <xf numFmtId="0" fontId="0" fillId="16" borderId="24" xfId="0" applyFill="1" applyBorder="1" applyAlignment="1" applyProtection="1">
      <alignment horizontal="center" vertical="center"/>
    </xf>
    <xf numFmtId="0" fontId="0" fillId="10" borderId="10" xfId="0" applyFill="1" applyBorder="1" applyProtection="1"/>
    <xf numFmtId="0" fontId="0" fillId="10" borderId="0" xfId="0" applyFill="1" applyBorder="1" applyAlignment="1" applyProtection="1">
      <alignment horizontal="left"/>
    </xf>
    <xf numFmtId="0" fontId="0" fillId="10" borderId="0" xfId="0" applyFill="1" applyBorder="1" applyAlignment="1" applyProtection="1">
      <alignment horizontal="center" vertical="center"/>
    </xf>
    <xf numFmtId="0" fontId="0" fillId="0" borderId="0" xfId="0" quotePrefix="1" applyProtection="1"/>
    <xf numFmtId="2" fontId="0" fillId="21" borderId="0" xfId="0" applyNumberFormat="1" applyFill="1" applyAlignment="1" applyProtection="1">
      <alignment horizontal="center" vertical="center"/>
    </xf>
    <xf numFmtId="2" fontId="0" fillId="10" borderId="0" xfId="0" applyNumberFormat="1" applyFill="1" applyBorder="1" applyAlignment="1" applyProtection="1">
      <alignment horizontal="center" vertical="center"/>
    </xf>
    <xf numFmtId="0" fontId="0" fillId="2" borderId="0" xfId="0" applyFill="1" applyProtection="1"/>
    <xf numFmtId="0" fontId="0" fillId="2" borderId="0" xfId="0" applyFill="1" applyAlignment="1" applyProtection="1">
      <alignment horizontal="center" vertical="center"/>
    </xf>
    <xf numFmtId="0" fontId="0" fillId="10" borderId="3" xfId="0" applyFill="1" applyBorder="1" applyProtection="1"/>
    <xf numFmtId="0" fontId="0" fillId="10" borderId="11" xfId="0" applyFill="1" applyBorder="1" applyProtection="1"/>
    <xf numFmtId="0" fontId="0" fillId="21" borderId="11" xfId="0" applyFill="1" applyBorder="1" applyProtection="1"/>
    <xf numFmtId="0" fontId="0" fillId="10" borderId="11" xfId="0" quotePrefix="1" applyFill="1" applyBorder="1" applyProtection="1"/>
    <xf numFmtId="0" fontId="0" fillId="10" borderId="12" xfId="0" applyFill="1" applyBorder="1" applyProtection="1"/>
    <xf numFmtId="0" fontId="0" fillId="16" borderId="1" xfId="0" applyFill="1" applyBorder="1" applyProtection="1"/>
    <xf numFmtId="0" fontId="0" fillId="10" borderId="5" xfId="0" applyFill="1" applyBorder="1" applyAlignment="1" applyProtection="1">
      <alignment horizontal="center" vertical="center"/>
    </xf>
    <xf numFmtId="0" fontId="0" fillId="21" borderId="24" xfId="0" applyFill="1" applyBorder="1" applyAlignment="1" applyProtection="1">
      <alignment horizontal="center" vertical="center"/>
    </xf>
    <xf numFmtId="0" fontId="0" fillId="21" borderId="16" xfId="0" applyFill="1" applyBorder="1" applyProtection="1"/>
    <xf numFmtId="0" fontId="0" fillId="21" borderId="25" xfId="0" applyFill="1" applyBorder="1" applyProtection="1"/>
    <xf numFmtId="165" fontId="0" fillId="10" borderId="16" xfId="0" applyNumberFormat="1"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165" fontId="0" fillId="10" borderId="5" xfId="0" applyNumberFormat="1" applyFill="1" applyBorder="1" applyAlignment="1" applyProtection="1">
      <alignment horizontal="center" vertical="center"/>
    </xf>
    <xf numFmtId="165" fontId="0" fillId="10" borderId="0" xfId="0" applyNumberFormat="1" applyFill="1" applyBorder="1" applyAlignment="1" applyProtection="1">
      <alignment horizontal="center" vertical="center"/>
    </xf>
    <xf numFmtId="0" fontId="0" fillId="10" borderId="10" xfId="0" applyFill="1" applyBorder="1" applyAlignment="1" applyProtection="1">
      <alignment horizontal="center" vertical="center"/>
    </xf>
    <xf numFmtId="165" fontId="0" fillId="21" borderId="24" xfId="0" applyNumberFormat="1" applyFill="1" applyBorder="1" applyAlignment="1" applyProtection="1">
      <alignment horizontal="center" vertical="center"/>
    </xf>
    <xf numFmtId="164" fontId="0" fillId="10" borderId="16" xfId="0" applyNumberFormat="1" applyFill="1" applyBorder="1" applyAlignment="1" applyProtection="1">
      <alignment horizontal="center" vertical="center"/>
    </xf>
    <xf numFmtId="164" fontId="0" fillId="10" borderId="0" xfId="0" applyNumberFormat="1" applyFill="1" applyBorder="1" applyAlignment="1" applyProtection="1">
      <alignment horizontal="center" vertical="center"/>
    </xf>
    <xf numFmtId="165" fontId="0" fillId="10" borderId="0" xfId="0" applyNumberFormat="1" applyFill="1" applyBorder="1" applyProtection="1"/>
    <xf numFmtId="165" fontId="0" fillId="10" borderId="3" xfId="0" applyNumberFormat="1" applyFill="1" applyBorder="1" applyProtection="1"/>
    <xf numFmtId="165" fontId="0" fillId="10" borderId="11" xfId="0" applyNumberFormat="1" applyFill="1" applyBorder="1" applyAlignment="1" applyProtection="1">
      <alignment horizontal="center" vertical="center"/>
    </xf>
    <xf numFmtId="0" fontId="0" fillId="10" borderId="12" xfId="0" applyFill="1" applyBorder="1" applyAlignment="1" applyProtection="1">
      <alignment horizontal="center" vertical="center"/>
    </xf>
    <xf numFmtId="165" fontId="0" fillId="21" borderId="26" xfId="0" applyNumberFormat="1" applyFill="1" applyBorder="1" applyProtection="1"/>
    <xf numFmtId="165" fontId="0" fillId="21" borderId="27" xfId="0" applyNumberFormat="1" applyFill="1" applyBorder="1" applyAlignment="1" applyProtection="1">
      <alignment horizontal="center" vertical="center"/>
    </xf>
    <xf numFmtId="0" fontId="0" fillId="21" borderId="27" xfId="0" applyFill="1" applyBorder="1" applyAlignment="1" applyProtection="1">
      <alignment horizontal="center" vertical="center"/>
    </xf>
    <xf numFmtId="165" fontId="0" fillId="21" borderId="27" xfId="0" applyNumberFormat="1" applyFill="1" applyBorder="1" applyProtection="1"/>
    <xf numFmtId="0" fontId="0" fillId="21" borderId="28" xfId="0" applyFill="1" applyBorder="1" applyProtection="1"/>
    <xf numFmtId="0" fontId="5" fillId="0" borderId="0" xfId="0" quotePrefix="1" applyFont="1" applyAlignment="1" applyProtection="1">
      <alignment horizontal="left"/>
    </xf>
    <xf numFmtId="0" fontId="0" fillId="10" borderId="20" xfId="0" applyFill="1" applyBorder="1" applyProtection="1"/>
    <xf numFmtId="0" fontId="1" fillId="0" borderId="0" xfId="0" applyFont="1" applyFill="1" applyBorder="1" applyAlignment="1" applyProtection="1"/>
    <xf numFmtId="1" fontId="0" fillId="0" borderId="0" xfId="0" applyNumberFormat="1" applyFill="1" applyBorder="1" applyProtection="1"/>
    <xf numFmtId="164" fontId="0" fillId="0" borderId="0" xfId="0" applyNumberFormat="1" applyFill="1" applyBorder="1" applyProtection="1"/>
    <xf numFmtId="0" fontId="4" fillId="10" borderId="1" xfId="0" quotePrefix="1" applyFont="1" applyFill="1" applyBorder="1" applyAlignment="1" applyProtection="1">
      <alignment horizontal="left"/>
    </xf>
    <xf numFmtId="0" fontId="0" fillId="10" borderId="2" xfId="0" applyFill="1" applyBorder="1" applyProtection="1"/>
    <xf numFmtId="2" fontId="0" fillId="0" borderId="0" xfId="0" applyNumberFormat="1" applyFill="1" applyBorder="1" applyProtection="1"/>
    <xf numFmtId="0" fontId="0" fillId="10" borderId="6" xfId="0" applyFill="1" applyBorder="1" applyAlignment="1" applyProtection="1">
      <alignment horizontal="center"/>
    </xf>
    <xf numFmtId="0" fontId="0" fillId="10" borderId="24" xfId="0" applyFill="1" applyBorder="1" applyProtection="1"/>
    <xf numFmtId="2" fontId="0" fillId="10" borderId="25" xfId="0" applyNumberFormat="1" applyFill="1" applyBorder="1" applyAlignment="1" applyProtection="1">
      <alignment horizontal="center"/>
    </xf>
    <xf numFmtId="0" fontId="0" fillId="10" borderId="24" xfId="0" quotePrefix="1" applyFill="1" applyBorder="1" applyAlignment="1" applyProtection="1">
      <alignment horizontal="left"/>
    </xf>
    <xf numFmtId="0" fontId="0" fillId="10" borderId="26" xfId="0" applyFill="1" applyBorder="1" applyProtection="1"/>
    <xf numFmtId="2" fontId="0" fillId="10" borderId="28" xfId="0" applyNumberFormat="1" applyFill="1" applyBorder="1" applyAlignment="1" applyProtection="1">
      <alignment horizontal="center"/>
    </xf>
    <xf numFmtId="0" fontId="0" fillId="8" borderId="0" xfId="0" applyFill="1" applyProtection="1"/>
    <xf numFmtId="0" fontId="0" fillId="10" borderId="8" xfId="0" applyFill="1" applyBorder="1" applyAlignment="1" applyProtection="1">
      <alignment horizontal="center"/>
    </xf>
    <xf numFmtId="0" fontId="0" fillId="10" borderId="29" xfId="0" applyFill="1" applyBorder="1" applyProtection="1"/>
    <xf numFmtId="0" fontId="1" fillId="8" borderId="0" xfId="0" applyFont="1" applyFill="1" applyProtection="1"/>
    <xf numFmtId="0" fontId="0" fillId="0" borderId="0" xfId="0" applyFont="1" applyFill="1" applyBorder="1" applyProtection="1"/>
    <xf numFmtId="0" fontId="0" fillId="10" borderId="38" xfId="0" applyFont="1" applyFill="1" applyBorder="1" applyProtection="1"/>
    <xf numFmtId="0" fontId="0" fillId="10" borderId="39" xfId="0" applyFill="1" applyBorder="1" applyProtection="1"/>
    <xf numFmtId="0" fontId="0" fillId="10" borderId="35" xfId="0" applyFill="1" applyBorder="1" applyProtection="1"/>
    <xf numFmtId="0" fontId="0" fillId="10" borderId="34" xfId="0" applyFont="1" applyFill="1" applyBorder="1" applyAlignment="1" applyProtection="1">
      <alignment horizontal="center" vertical="center"/>
    </xf>
    <xf numFmtId="0" fontId="0" fillId="10" borderId="21" xfId="0" applyFill="1" applyBorder="1" applyProtection="1"/>
    <xf numFmtId="0" fontId="0" fillId="10" borderId="37" xfId="0" applyFill="1" applyBorder="1" applyProtection="1"/>
    <xf numFmtId="0" fontId="0" fillId="10" borderId="38" xfId="0" applyFont="1" applyFill="1" applyBorder="1" applyAlignment="1" applyProtection="1">
      <alignment horizontal="center" vertical="center"/>
    </xf>
    <xf numFmtId="0" fontId="0" fillId="8" borderId="16" xfId="0" applyFill="1" applyBorder="1" applyAlignment="1" applyProtection="1">
      <alignment wrapText="1"/>
    </xf>
    <xf numFmtId="165" fontId="0" fillId="21" borderId="24" xfId="0" applyNumberFormat="1" applyFont="1" applyFill="1" applyBorder="1" applyAlignment="1" applyProtection="1">
      <alignment horizontal="center" vertical="center"/>
    </xf>
    <xf numFmtId="165" fontId="0" fillId="23" borderId="17" xfId="0" applyNumberFormat="1" applyFill="1" applyBorder="1" applyAlignment="1" applyProtection="1">
      <alignment horizontal="center" vertical="center"/>
    </xf>
    <xf numFmtId="165" fontId="0" fillId="23" borderId="25" xfId="0" applyNumberFormat="1" applyFill="1" applyBorder="1" applyAlignment="1" applyProtection="1">
      <alignment horizontal="center" vertical="center"/>
    </xf>
    <xf numFmtId="164" fontId="0" fillId="10" borderId="25" xfId="0" applyNumberFormat="1" applyFill="1" applyBorder="1" applyAlignment="1" applyProtection="1">
      <alignment horizontal="center" vertical="center"/>
    </xf>
    <xf numFmtId="0" fontId="0" fillId="0" borderId="0" xfId="0" applyBorder="1" applyAlignment="1" applyProtection="1">
      <alignment horizontal="center"/>
    </xf>
    <xf numFmtId="165" fontId="0" fillId="23" borderId="16" xfId="0" applyNumberFormat="1" applyFill="1" applyBorder="1" applyAlignment="1" applyProtection="1">
      <alignment horizontal="center" vertical="center"/>
    </xf>
    <xf numFmtId="165" fontId="0" fillId="10" borderId="24" xfId="0" applyNumberFormat="1" applyFont="1" applyFill="1" applyBorder="1" applyAlignment="1" applyProtection="1">
      <alignment horizontal="center" vertical="center"/>
    </xf>
    <xf numFmtId="165" fontId="0" fillId="10" borderId="17" xfId="0" applyNumberFormat="1" applyFill="1" applyBorder="1" applyAlignment="1" applyProtection="1">
      <alignment horizontal="center" vertical="center"/>
    </xf>
    <xf numFmtId="165" fontId="0" fillId="10" borderId="24" xfId="0" applyNumberFormat="1" applyFill="1" applyBorder="1" applyAlignment="1" applyProtection="1">
      <alignment horizontal="center" vertical="center"/>
    </xf>
    <xf numFmtId="165" fontId="0" fillId="10" borderId="25" xfId="0" applyNumberFormat="1" applyFill="1" applyBorder="1" applyAlignment="1" applyProtection="1">
      <alignment horizontal="center" vertical="center"/>
    </xf>
    <xf numFmtId="0" fontId="0" fillId="10" borderId="41" xfId="0" applyFill="1" applyBorder="1" applyProtection="1"/>
    <xf numFmtId="165" fontId="0" fillId="10" borderId="16" xfId="0" applyNumberFormat="1" applyFill="1" applyBorder="1" applyAlignment="1" applyProtection="1">
      <alignment vertical="center"/>
    </xf>
    <xf numFmtId="165" fontId="0" fillId="10" borderId="25" xfId="0" applyNumberFormat="1" applyFill="1" applyBorder="1" applyProtection="1"/>
    <xf numFmtId="165" fontId="0" fillId="21" borderId="40" xfId="0" applyNumberFormat="1" applyFont="1" applyFill="1" applyBorder="1" applyAlignment="1" applyProtection="1">
      <alignment horizontal="center" vertical="center"/>
    </xf>
    <xf numFmtId="165" fontId="0" fillId="21" borderId="27" xfId="0" applyNumberFormat="1" applyFont="1" applyFill="1" applyBorder="1" applyAlignment="1" applyProtection="1">
      <alignment horizontal="center" vertical="center"/>
    </xf>
    <xf numFmtId="165" fontId="0" fillId="23" borderId="30" xfId="0" applyNumberFormat="1" applyFill="1" applyBorder="1" applyAlignment="1" applyProtection="1">
      <alignment horizontal="center" vertical="center"/>
    </xf>
    <xf numFmtId="165" fontId="0" fillId="21" borderId="26" xfId="0" applyNumberFormat="1" applyFill="1" applyBorder="1" applyAlignment="1" applyProtection="1">
      <alignment horizontal="center" vertical="center"/>
    </xf>
    <xf numFmtId="165" fontId="0" fillId="23" borderId="28" xfId="0" applyNumberFormat="1" applyFill="1" applyBorder="1" applyAlignment="1" applyProtection="1">
      <alignment horizontal="center" vertical="center"/>
    </xf>
    <xf numFmtId="165" fontId="0" fillId="23" borderId="27" xfId="0" applyNumberFormat="1" applyFill="1" applyBorder="1" applyAlignment="1" applyProtection="1">
      <alignment horizontal="center" vertical="center"/>
    </xf>
    <xf numFmtId="165" fontId="0" fillId="21" borderId="26" xfId="0" applyNumberFormat="1" applyFont="1" applyFill="1" applyBorder="1" applyAlignment="1" applyProtection="1">
      <alignment horizontal="center" vertical="center"/>
    </xf>
    <xf numFmtId="2" fontId="0" fillId="15" borderId="0" xfId="0" applyNumberFormat="1" applyFill="1" applyBorder="1" applyProtection="1"/>
    <xf numFmtId="0" fontId="0" fillId="10" borderId="8" xfId="0" applyFill="1" applyBorder="1" applyAlignment="1" applyProtection="1">
      <alignment horizontal="center" vertical="center"/>
    </xf>
    <xf numFmtId="0" fontId="0" fillId="10" borderId="9" xfId="0" applyFill="1" applyBorder="1" applyAlignment="1" applyProtection="1">
      <alignment horizontal="center" vertical="center"/>
    </xf>
    <xf numFmtId="0" fontId="0" fillId="10" borderId="1" xfId="0" applyFill="1" applyBorder="1" applyAlignment="1" applyProtection="1">
      <alignment horizontal="center" vertical="center"/>
    </xf>
    <xf numFmtId="2" fontId="0" fillId="23" borderId="0" xfId="0" applyNumberFormat="1" applyFill="1" applyBorder="1" applyAlignment="1" applyProtection="1">
      <alignment horizontal="center" vertical="center"/>
    </xf>
    <xf numFmtId="2" fontId="0" fillId="23" borderId="10" xfId="0" applyNumberFormat="1" applyFill="1" applyBorder="1" applyAlignment="1" applyProtection="1">
      <alignment horizontal="center" vertical="center"/>
    </xf>
    <xf numFmtId="2" fontId="0" fillId="23" borderId="5" xfId="0" applyNumberFormat="1" applyFill="1" applyBorder="1" applyAlignment="1" applyProtection="1">
      <alignment horizontal="center" vertical="center"/>
    </xf>
    <xf numFmtId="2" fontId="0" fillId="0" borderId="0" xfId="0" applyNumberFormat="1" applyBorder="1" applyAlignment="1" applyProtection="1">
      <alignment horizontal="center" vertical="center"/>
    </xf>
    <xf numFmtId="2" fontId="0" fillId="0" borderId="10" xfId="0" applyNumberFormat="1" applyBorder="1" applyAlignment="1" applyProtection="1">
      <alignment horizontal="center" vertical="center"/>
    </xf>
    <xf numFmtId="2" fontId="0" fillId="0" borderId="10" xfId="0" applyNumberFormat="1" applyFill="1" applyBorder="1" applyAlignment="1" applyProtection="1">
      <alignment horizontal="center" vertical="center"/>
    </xf>
    <xf numFmtId="0" fontId="0" fillId="0" borderId="5" xfId="0" applyFill="1" applyBorder="1" applyAlignment="1" applyProtection="1">
      <alignment horizontal="right"/>
    </xf>
    <xf numFmtId="2" fontId="1" fillId="0" borderId="0" xfId="0" applyNumberFormat="1" applyFont="1" applyFill="1" applyBorder="1" applyAlignment="1" applyProtection="1">
      <alignment horizontal="center" vertical="center"/>
    </xf>
    <xf numFmtId="2" fontId="1" fillId="0" borderId="10" xfId="0" applyNumberFormat="1" applyFont="1" applyFill="1" applyBorder="1" applyAlignment="1" applyProtection="1">
      <alignment horizontal="center" vertical="center"/>
    </xf>
    <xf numFmtId="2" fontId="1" fillId="0" borderId="5" xfId="0" applyNumberFormat="1" applyFont="1" applyFill="1" applyBorder="1" applyAlignment="1" applyProtection="1">
      <alignment horizontal="center" vertical="center"/>
    </xf>
    <xf numFmtId="0" fontId="0" fillId="0" borderId="3" xfId="0" applyFill="1" applyBorder="1" applyAlignment="1" applyProtection="1">
      <alignment horizontal="right"/>
    </xf>
    <xf numFmtId="2" fontId="1" fillId="0" borderId="11" xfId="0" applyNumberFormat="1" applyFont="1" applyBorder="1" applyAlignment="1" applyProtection="1">
      <alignment horizontal="center" vertical="center"/>
    </xf>
    <xf numFmtId="2" fontId="1" fillId="0" borderId="12" xfId="0" applyNumberFormat="1" applyFont="1" applyBorder="1" applyAlignment="1" applyProtection="1">
      <alignment horizontal="center" vertical="center"/>
    </xf>
    <xf numFmtId="2" fontId="1" fillId="0" borderId="3" xfId="0" applyNumberFormat="1" applyFont="1" applyBorder="1" applyAlignment="1" applyProtection="1">
      <alignment horizontal="center" vertical="center"/>
    </xf>
    <xf numFmtId="0" fontId="0" fillId="0" borderId="2" xfId="0" applyBorder="1" applyAlignment="1" applyProtection="1">
      <alignment horizontal="center"/>
    </xf>
    <xf numFmtId="0" fontId="0" fillId="0" borderId="4" xfId="0" applyBorder="1" applyAlignment="1" applyProtection="1">
      <alignment horizontal="center"/>
    </xf>
    <xf numFmtId="0" fontId="0" fillId="0" borderId="5" xfId="0" quotePrefix="1" applyBorder="1" applyAlignment="1" applyProtection="1">
      <alignment horizontal="left"/>
    </xf>
    <xf numFmtId="0" fontId="0" fillId="0" borderId="6" xfId="0" applyBorder="1" applyAlignment="1" applyProtection="1">
      <alignment horizontal="center"/>
    </xf>
    <xf numFmtId="0" fontId="0" fillId="0" borderId="5" xfId="0" applyBorder="1" applyAlignment="1" applyProtection="1">
      <alignment horizontal="left"/>
    </xf>
    <xf numFmtId="0" fontId="21" fillId="0" borderId="0" xfId="0" applyFont="1" applyFill="1" applyProtection="1"/>
    <xf numFmtId="0" fontId="1" fillId="10" borderId="0" xfId="0" applyFont="1" applyFill="1" applyBorder="1" applyAlignment="1" applyProtection="1">
      <alignment horizontal="center" vertical="center"/>
    </xf>
    <xf numFmtId="0" fontId="0" fillId="0" borderId="1" xfId="0" applyFill="1" applyBorder="1" applyProtection="1"/>
    <xf numFmtId="0" fontId="0" fillId="0" borderId="8" xfId="0" applyFill="1" applyBorder="1" applyProtection="1"/>
    <xf numFmtId="0" fontId="0" fillId="0" borderId="9" xfId="0" applyFill="1" applyBorder="1" applyProtection="1"/>
    <xf numFmtId="0" fontId="1" fillId="0" borderId="5" xfId="0" applyFont="1" applyBorder="1" applyProtection="1"/>
    <xf numFmtId="2" fontId="0" fillId="16" borderId="0" xfId="0" applyNumberFormat="1" applyFill="1" applyBorder="1" applyAlignment="1" applyProtection="1">
      <alignment horizontal="center" vertical="center"/>
    </xf>
    <xf numFmtId="0" fontId="1" fillId="0" borderId="1" xfId="0" applyFont="1" applyBorder="1" applyAlignment="1" applyProtection="1">
      <alignment vertical="center"/>
    </xf>
    <xf numFmtId="0" fontId="1" fillId="0" borderId="8" xfId="0" applyFont="1" applyBorder="1" applyAlignment="1" applyProtection="1">
      <alignment vertical="center"/>
    </xf>
    <xf numFmtId="0" fontId="1" fillId="0" borderId="29" xfId="0" applyFont="1" applyBorder="1" applyAlignment="1" applyProtection="1">
      <alignment horizontal="center" vertical="center"/>
    </xf>
    <xf numFmtId="0" fontId="0" fillId="0" borderId="52" xfId="0" applyBorder="1" applyAlignment="1" applyProtection="1">
      <alignment horizontal="center" vertical="center"/>
    </xf>
    <xf numFmtId="0" fontId="1" fillId="0" borderId="1" xfId="0" applyFont="1" applyBorder="1" applyAlignment="1" applyProtection="1">
      <alignment horizontal="center" vertical="center"/>
    </xf>
    <xf numFmtId="0" fontId="1" fillId="0" borderId="9" xfId="0" applyFont="1" applyBorder="1" applyAlignment="1" applyProtection="1">
      <alignment horizontal="center" vertical="center"/>
    </xf>
    <xf numFmtId="0" fontId="0" fillId="6" borderId="0" xfId="0" applyFill="1" applyProtection="1"/>
    <xf numFmtId="0" fontId="1" fillId="0" borderId="42" xfId="0" applyFont="1" applyBorder="1" applyProtection="1"/>
    <xf numFmtId="0" fontId="0" fillId="0" borderId="24" xfId="0" applyBorder="1" applyAlignment="1" applyProtection="1">
      <alignment horizontal="center" vertical="center"/>
    </xf>
    <xf numFmtId="0" fontId="0" fillId="0" borderId="17" xfId="0" applyBorder="1" applyAlignment="1" applyProtection="1">
      <alignment horizontal="center" vertical="center"/>
    </xf>
    <xf numFmtId="0" fontId="0" fillId="0" borderId="24" xfId="0" applyBorder="1" applyProtection="1"/>
    <xf numFmtId="0" fontId="0" fillId="0" borderId="17" xfId="0" applyBorder="1" applyProtection="1"/>
    <xf numFmtId="0" fontId="0" fillId="0" borderId="19" xfId="0" applyBorder="1" applyProtection="1"/>
    <xf numFmtId="0" fontId="0" fillId="0" borderId="46" xfId="0" applyBorder="1" applyProtection="1"/>
    <xf numFmtId="0" fontId="0" fillId="0" borderId="25" xfId="0" applyBorder="1" applyProtection="1"/>
    <xf numFmtId="0" fontId="0" fillId="0" borderId="42" xfId="0" applyBorder="1" applyProtection="1"/>
    <xf numFmtId="2" fontId="0" fillId="23" borderId="24" xfId="0" applyNumberFormat="1" applyFill="1" applyBorder="1" applyAlignment="1" applyProtection="1">
      <alignment horizontal="center" vertical="center"/>
    </xf>
    <xf numFmtId="2" fontId="0" fillId="23" borderId="17" xfId="0" applyNumberFormat="1" applyFill="1" applyBorder="1" applyAlignment="1" applyProtection="1">
      <alignment horizontal="center" vertical="center"/>
    </xf>
    <xf numFmtId="0" fontId="0" fillId="23" borderId="24" xfId="0" applyFill="1" applyBorder="1" applyAlignment="1" applyProtection="1">
      <alignment horizontal="center" vertical="center"/>
    </xf>
    <xf numFmtId="0" fontId="0" fillId="23" borderId="17" xfId="0" applyFill="1" applyBorder="1" applyAlignment="1" applyProtection="1">
      <alignment horizontal="center" vertical="center"/>
    </xf>
    <xf numFmtId="2" fontId="0" fillId="23" borderId="25" xfId="0" applyNumberFormat="1" applyFill="1" applyBorder="1" applyAlignment="1" applyProtection="1">
      <alignment horizontal="center" vertical="center"/>
    </xf>
    <xf numFmtId="0" fontId="0" fillId="0" borderId="23" xfId="0" applyBorder="1" applyProtection="1"/>
    <xf numFmtId="164" fontId="0" fillId="23" borderId="24" xfId="0" applyNumberFormat="1" applyFill="1" applyBorder="1" applyAlignment="1" applyProtection="1">
      <alignment horizontal="center" vertical="center"/>
    </xf>
    <xf numFmtId="164" fontId="0" fillId="23" borderId="17" xfId="0" applyNumberFormat="1" applyFill="1" applyBorder="1" applyAlignment="1" applyProtection="1">
      <alignment horizontal="center" vertical="center"/>
    </xf>
    <xf numFmtId="2" fontId="0" fillId="0" borderId="5" xfId="0" applyNumberFormat="1" applyFill="1" applyBorder="1" applyAlignment="1" applyProtection="1">
      <alignment horizontal="center" vertical="center"/>
    </xf>
    <xf numFmtId="0" fontId="0" fillId="0" borderId="51" xfId="0" applyBorder="1" applyProtection="1"/>
    <xf numFmtId="0" fontId="0" fillId="0" borderId="47" xfId="0" applyBorder="1" applyProtection="1"/>
    <xf numFmtId="0" fontId="0" fillId="0" borderId="0" xfId="0" quotePrefix="1" applyFill="1" applyBorder="1" applyAlignment="1" applyProtection="1">
      <alignment vertical="center"/>
    </xf>
    <xf numFmtId="0" fontId="0" fillId="0" borderId="0" xfId="0" quotePrefix="1" applyFill="1" applyBorder="1" applyAlignment="1" applyProtection="1"/>
    <xf numFmtId="0" fontId="0" fillId="10" borderId="0" xfId="0" applyFill="1" applyAlignment="1" applyProtection="1">
      <alignment horizontal="center" vertical="center"/>
    </xf>
    <xf numFmtId="9" fontId="0" fillId="10" borderId="0" xfId="0" applyNumberFormat="1" applyFill="1" applyAlignment="1" applyProtection="1">
      <alignment horizontal="center" vertical="center"/>
    </xf>
    <xf numFmtId="2" fontId="0" fillId="23" borderId="26" xfId="0" applyNumberFormat="1" applyFill="1" applyBorder="1" applyAlignment="1" applyProtection="1">
      <alignment horizontal="center" vertical="center"/>
    </xf>
    <xf numFmtId="2" fontId="0" fillId="23" borderId="30" xfId="0" applyNumberFormat="1" applyFill="1" applyBorder="1" applyAlignment="1" applyProtection="1">
      <alignment horizontal="center" vertical="center"/>
    </xf>
    <xf numFmtId="0" fontId="1" fillId="0" borderId="0" xfId="0" applyFont="1" applyFill="1" applyProtection="1"/>
    <xf numFmtId="1" fontId="0" fillId="0" borderId="0" xfId="0" applyNumberFormat="1" applyFill="1" applyBorder="1" applyAlignment="1" applyProtection="1">
      <alignment horizontal="center" vertical="center"/>
    </xf>
    <xf numFmtId="0" fontId="1" fillId="18" borderId="0" xfId="0" applyFont="1" applyFill="1" applyProtection="1"/>
    <xf numFmtId="0" fontId="0" fillId="18" borderId="0" xfId="0" applyFill="1" applyProtection="1"/>
    <xf numFmtId="0" fontId="1" fillId="0" borderId="16" xfId="0" applyFont="1" applyBorder="1" applyProtection="1"/>
    <xf numFmtId="0" fontId="1" fillId="2" borderId="16" xfId="0" applyFont="1" applyFill="1" applyBorder="1" applyProtection="1"/>
    <xf numFmtId="0" fontId="0" fillId="0" borderId="16" xfId="0" applyBorder="1" applyAlignment="1" applyProtection="1">
      <alignment horizontal="center" vertical="center"/>
    </xf>
    <xf numFmtId="2" fontId="0" fillId="0" borderId="16" xfId="0" applyNumberFormat="1" applyFill="1" applyBorder="1" applyAlignment="1" applyProtection="1">
      <alignment horizontal="center" vertical="center"/>
    </xf>
    <xf numFmtId="2" fontId="0" fillId="0" borderId="16" xfId="0" applyNumberFormat="1" applyBorder="1" applyAlignment="1" applyProtection="1">
      <alignment horizontal="center" vertical="center"/>
    </xf>
    <xf numFmtId="2" fontId="0" fillId="23" borderId="16" xfId="0" applyNumberFormat="1" applyFill="1" applyBorder="1" applyAlignment="1" applyProtection="1">
      <alignment horizontal="center" vertical="center"/>
    </xf>
    <xf numFmtId="0" fontId="0" fillId="0" borderId="16" xfId="0" applyFont="1" applyBorder="1" applyProtection="1"/>
    <xf numFmtId="0" fontId="0" fillId="2" borderId="16" xfId="0" applyFill="1" applyBorder="1" applyProtection="1"/>
    <xf numFmtId="0" fontId="4" fillId="0" borderId="0" xfId="0" applyFont="1" applyFill="1" applyProtection="1"/>
    <xf numFmtId="0" fontId="0" fillId="0" borderId="16" xfId="0" applyFill="1" applyBorder="1" applyAlignment="1" applyProtection="1">
      <alignment horizontal="center" vertical="center"/>
    </xf>
    <xf numFmtId="0" fontId="0" fillId="0" borderId="16" xfId="0" applyNumberFormat="1" applyBorder="1" applyAlignment="1" applyProtection="1">
      <alignment horizontal="center" vertical="center"/>
    </xf>
    <xf numFmtId="2" fontId="0" fillId="2" borderId="16" xfId="0" applyNumberFormat="1" applyFill="1" applyBorder="1" applyAlignment="1" applyProtection="1">
      <alignment horizontal="center"/>
    </xf>
    <xf numFmtId="2" fontId="0" fillId="2" borderId="16" xfId="0" applyNumberFormat="1" applyFill="1" applyBorder="1" applyAlignment="1" applyProtection="1">
      <alignment horizontal="center" vertical="center"/>
    </xf>
    <xf numFmtId="2" fontId="0" fillId="25" borderId="16" xfId="0" applyNumberFormat="1" applyFill="1" applyBorder="1" applyAlignment="1" applyProtection="1">
      <alignment horizontal="center" vertical="center"/>
    </xf>
    <xf numFmtId="0" fontId="3" fillId="0" borderId="0" xfId="0" quotePrefix="1" applyFont="1" applyAlignment="1" applyProtection="1">
      <alignment horizontal="left"/>
    </xf>
    <xf numFmtId="0" fontId="0" fillId="0" borderId="2" xfId="0" applyBorder="1" applyProtection="1"/>
    <xf numFmtId="0" fontId="1" fillId="10" borderId="9" xfId="0" applyFont="1" applyFill="1" applyBorder="1" applyAlignment="1" applyProtection="1">
      <alignment horizontal="center" vertical="center"/>
    </xf>
    <xf numFmtId="0" fontId="0" fillId="8" borderId="48" xfId="0" applyFill="1" applyBorder="1" applyAlignment="1" applyProtection="1"/>
    <xf numFmtId="0" fontId="0" fillId="8" borderId="49" xfId="0" applyFill="1" applyBorder="1" applyAlignment="1" applyProtection="1"/>
    <xf numFmtId="0" fontId="0" fillId="8" borderId="50" xfId="0" applyFill="1" applyBorder="1" applyAlignment="1" applyProtection="1"/>
    <xf numFmtId="0" fontId="1" fillId="10" borderId="10" xfId="0" applyFont="1" applyFill="1" applyBorder="1" applyAlignment="1" applyProtection="1">
      <alignment horizontal="center" vertical="center"/>
    </xf>
    <xf numFmtId="0" fontId="1" fillId="10" borderId="46" xfId="0" applyFont="1" applyFill="1" applyBorder="1" applyAlignment="1" applyProtection="1">
      <alignment horizontal="center" vertical="center"/>
    </xf>
    <xf numFmtId="0" fontId="4" fillId="0" borderId="1" xfId="0" quotePrefix="1" applyFont="1" applyBorder="1" applyAlignment="1" applyProtection="1">
      <alignment horizontal="left"/>
    </xf>
    <xf numFmtId="2" fontId="0" fillId="0" borderId="2" xfId="0" applyNumberFormat="1" applyBorder="1" applyAlignment="1" applyProtection="1">
      <alignment horizontal="center"/>
    </xf>
    <xf numFmtId="2" fontId="0" fillId="0" borderId="6" xfId="0" applyNumberFormat="1" applyBorder="1" applyAlignment="1" applyProtection="1">
      <alignment horizontal="center"/>
    </xf>
    <xf numFmtId="2" fontId="0" fillId="0" borderId="4" xfId="0" applyNumberFormat="1" applyBorder="1" applyAlignment="1" applyProtection="1">
      <alignment horizontal="center"/>
    </xf>
    <xf numFmtId="0" fontId="0" fillId="8" borderId="29" xfId="0" applyFill="1" applyBorder="1" applyProtection="1"/>
    <xf numFmtId="0" fontId="0" fillId="8" borderId="43" xfId="0" applyFill="1" applyBorder="1" applyProtection="1"/>
    <xf numFmtId="0" fontId="1" fillId="10" borderId="54" xfId="0" applyFont="1" applyFill="1" applyBorder="1" applyAlignment="1" applyProtection="1">
      <alignment horizontal="center" vertical="center"/>
    </xf>
    <xf numFmtId="0" fontId="0" fillId="8" borderId="26" xfId="0" applyFill="1" applyBorder="1" applyProtection="1"/>
    <xf numFmtId="0" fontId="0" fillId="8" borderId="27" xfId="0" applyFill="1" applyBorder="1" applyProtection="1"/>
    <xf numFmtId="0" fontId="1" fillId="10" borderId="28" xfId="0" applyFont="1" applyFill="1" applyBorder="1" applyAlignment="1" applyProtection="1">
      <alignment horizontal="center" vertical="center"/>
    </xf>
    <xf numFmtId="1" fontId="0" fillId="0" borderId="0" xfId="0" applyNumberFormat="1" applyProtection="1"/>
    <xf numFmtId="0" fontId="0" fillId="0" borderId="0" xfId="0" applyFont="1" applyProtection="1"/>
    <xf numFmtId="0" fontId="11" fillId="0" borderId="0" xfId="0" applyFont="1" applyProtection="1"/>
    <xf numFmtId="0" fontId="3" fillId="0" borderId="0" xfId="0" quotePrefix="1" applyFont="1" applyBorder="1" applyAlignment="1" applyProtection="1">
      <alignment horizontal="left"/>
    </xf>
    <xf numFmtId="0" fontId="3" fillId="0" borderId="5" xfId="0" applyFont="1" applyFill="1" applyBorder="1" applyProtection="1"/>
    <xf numFmtId="0" fontId="0" fillId="0" borderId="0" xfId="0" quotePrefix="1" applyBorder="1" applyAlignment="1" applyProtection="1">
      <alignment horizontal="left"/>
    </xf>
    <xf numFmtId="0" fontId="0" fillId="5" borderId="0" xfId="0" applyFont="1" applyFill="1" applyProtection="1"/>
    <xf numFmtId="0" fontId="0" fillId="0" borderId="0" xfId="0" applyFill="1" applyBorder="1" applyAlignment="1" applyProtection="1">
      <alignment horizontal="left" vertical="center"/>
    </xf>
    <xf numFmtId="0" fontId="0" fillId="8" borderId="0" xfId="0" applyFill="1" applyBorder="1" applyAlignment="1" applyProtection="1"/>
    <xf numFmtId="0" fontId="0" fillId="8" borderId="10" xfId="0" applyFill="1" applyBorder="1" applyAlignment="1" applyProtection="1">
      <alignment horizontal="center" vertical="center"/>
    </xf>
    <xf numFmtId="0" fontId="0" fillId="8" borderId="16" xfId="0" applyFill="1" applyBorder="1" applyAlignment="1" applyProtection="1"/>
    <xf numFmtId="0" fontId="0" fillId="8" borderId="16" xfId="0" quotePrefix="1" applyFill="1" applyBorder="1" applyAlignment="1" applyProtection="1">
      <alignment vertical="center"/>
    </xf>
    <xf numFmtId="0" fontId="0" fillId="0" borderId="0" xfId="0" applyFont="1" applyFill="1" applyProtection="1"/>
    <xf numFmtId="16" fontId="0" fillId="0" borderId="0" xfId="0" quotePrefix="1" applyNumberFormat="1" applyFill="1" applyProtection="1"/>
    <xf numFmtId="0" fontId="0" fillId="0" borderId="0" xfId="0" applyAlignment="1" applyProtection="1">
      <alignment horizontal="left" vertical="center"/>
    </xf>
    <xf numFmtId="0" fontId="0" fillId="0" borderId="0" xfId="0" applyAlignment="1" applyProtection="1">
      <alignment horizontal="left" vertical="top"/>
    </xf>
    <xf numFmtId="9" fontId="0" fillId="0" borderId="0" xfId="0" applyNumberFormat="1" applyProtection="1"/>
    <xf numFmtId="0" fontId="14" fillId="0" borderId="0" xfId="0" applyFont="1" applyProtection="1"/>
    <xf numFmtId="0" fontId="18" fillId="0" borderId="0" xfId="0" applyFont="1" applyProtection="1"/>
    <xf numFmtId="0" fontId="12" fillId="0" borderId="0" xfId="0" applyFont="1" applyProtection="1"/>
    <xf numFmtId="0" fontId="16" fillId="0" borderId="0" xfId="0" applyFont="1" applyProtection="1"/>
    <xf numFmtId="0" fontId="15" fillId="0" borderId="41" xfId="0" applyFont="1" applyFill="1" applyBorder="1" applyAlignment="1" applyProtection="1">
      <alignment horizontal="left" vertical="center"/>
    </xf>
    <xf numFmtId="0" fontId="15" fillId="0" borderId="0" xfId="0" applyFont="1" applyAlignment="1" applyProtection="1">
      <alignment horizontal="center" vertical="center"/>
    </xf>
    <xf numFmtId="0" fontId="0" fillId="21" borderId="16" xfId="0" applyFill="1" applyBorder="1" applyAlignment="1" applyProtection="1">
      <alignment horizontal="center" vertical="center"/>
    </xf>
    <xf numFmtId="0" fontId="0" fillId="31" borderId="0" xfId="0" applyFill="1" applyAlignment="1" applyProtection="1">
      <alignment horizontal="center" vertical="center"/>
      <protection hidden="1"/>
    </xf>
    <xf numFmtId="0" fontId="0" fillId="28" borderId="0" xfId="0" applyFill="1" applyAlignment="1" applyProtection="1">
      <alignment horizontal="center"/>
      <protection hidden="1"/>
    </xf>
    <xf numFmtId="0" fontId="1" fillId="28" borderId="0" xfId="0" applyFont="1" applyFill="1" applyAlignment="1" applyProtection="1">
      <alignment horizontal="left" vertical="center" wrapText="1"/>
      <protection hidden="1"/>
    </xf>
    <xf numFmtId="2" fontId="0" fillId="9" borderId="3" xfId="0" applyNumberFormat="1" applyFill="1" applyBorder="1" applyAlignment="1" applyProtection="1">
      <alignment horizontal="center"/>
    </xf>
    <xf numFmtId="0" fontId="0" fillId="28" borderId="0" xfId="0" applyFill="1" applyAlignment="1" applyProtection="1">
      <alignment horizontal="center" vertical="top"/>
      <protection hidden="1"/>
    </xf>
    <xf numFmtId="0" fontId="0" fillId="28" borderId="0" xfId="0" applyFill="1" applyAlignment="1" applyProtection="1">
      <alignment horizontal="right" vertical="top"/>
      <protection hidden="1"/>
    </xf>
    <xf numFmtId="0" fontId="0" fillId="28" borderId="0" xfId="0" applyFill="1" applyBorder="1" applyAlignment="1" applyProtection="1">
      <alignment horizontal="right" vertical="top"/>
      <protection hidden="1"/>
    </xf>
    <xf numFmtId="0" fontId="20" fillId="8" borderId="0" xfId="0" applyFont="1" applyFill="1" applyAlignment="1" applyProtection="1">
      <alignment vertical="center"/>
      <protection hidden="1"/>
    </xf>
    <xf numFmtId="0" fontId="0" fillId="6" borderId="0" xfId="0" applyFill="1" applyAlignment="1" applyProtection="1">
      <alignment horizontal="center" vertical="center"/>
      <protection hidden="1"/>
    </xf>
    <xf numFmtId="0" fontId="1" fillId="6" borderId="0" xfId="0" applyFont="1" applyFill="1" applyAlignment="1" applyProtection="1">
      <alignment horizontal="center" vertical="center"/>
      <protection hidden="1"/>
    </xf>
    <xf numFmtId="0" fontId="1" fillId="6" borderId="0" xfId="0" applyFont="1" applyFill="1" applyAlignment="1" applyProtection="1">
      <alignment horizontal="center" vertical="center" wrapText="1"/>
      <protection hidden="1"/>
    </xf>
    <xf numFmtId="1" fontId="4" fillId="18" borderId="29" xfId="0" applyNumberFormat="1" applyFont="1" applyFill="1" applyBorder="1" applyAlignment="1" applyProtection="1">
      <alignment horizontal="center"/>
    </xf>
    <xf numFmtId="1" fontId="4" fillId="16" borderId="24" xfId="0" applyNumberFormat="1" applyFont="1" applyFill="1" applyBorder="1" applyAlignment="1" applyProtection="1">
      <alignment horizontal="center"/>
    </xf>
    <xf numFmtId="164" fontId="4" fillId="20" borderId="33" xfId="0" applyNumberFormat="1" applyFont="1" applyFill="1" applyBorder="1" applyAlignment="1" applyProtection="1">
      <alignment horizontal="center" vertical="center"/>
    </xf>
    <xf numFmtId="164" fontId="4" fillId="20" borderId="32" xfId="0" applyNumberFormat="1" applyFont="1" applyFill="1" applyBorder="1" applyAlignment="1">
      <alignment horizontal="center" vertical="center"/>
    </xf>
    <xf numFmtId="0" fontId="0" fillId="20" borderId="21" xfId="0" applyFill="1" applyBorder="1" applyAlignment="1" applyProtection="1">
      <alignment horizontal="center" vertical="center"/>
      <protection locked="0" hidden="1"/>
    </xf>
    <xf numFmtId="164" fontId="0" fillId="0" borderId="0" xfId="0" applyNumberFormat="1" applyFill="1" applyProtection="1"/>
    <xf numFmtId="0" fontId="0" fillId="10" borderId="0" xfId="0" applyFill="1" applyAlignment="1" applyProtection="1">
      <alignment horizontal="left" vertical="center"/>
      <protection hidden="1"/>
    </xf>
    <xf numFmtId="0" fontId="0" fillId="10" borderId="0" xfId="0" applyFill="1" applyAlignment="1" applyProtection="1">
      <alignment horizontal="left"/>
      <protection hidden="1"/>
    </xf>
    <xf numFmtId="0" fontId="0" fillId="0" borderId="0" xfId="0" applyAlignment="1" applyProtection="1">
      <alignment horizontal="left"/>
      <protection hidden="1"/>
    </xf>
    <xf numFmtId="0" fontId="1" fillId="28" borderId="0" xfId="0" applyFont="1" applyFill="1" applyBorder="1" applyProtection="1">
      <protection hidden="1"/>
    </xf>
    <xf numFmtId="0" fontId="0" fillId="25" borderId="0" xfId="0" applyFill="1" applyBorder="1" applyAlignment="1" applyProtection="1">
      <alignment horizontal="center"/>
      <protection hidden="1"/>
    </xf>
    <xf numFmtId="0" fontId="0" fillId="25" borderId="61" xfId="0" applyFill="1" applyBorder="1" applyProtection="1">
      <protection hidden="1"/>
    </xf>
    <xf numFmtId="0" fontId="0" fillId="25" borderId="62" xfId="0" applyFill="1" applyBorder="1" applyProtection="1">
      <protection hidden="1"/>
    </xf>
    <xf numFmtId="0" fontId="0" fillId="25" borderId="63" xfId="0" applyFill="1" applyBorder="1" applyProtection="1">
      <protection hidden="1"/>
    </xf>
    <xf numFmtId="0" fontId="0" fillId="25" borderId="64" xfId="0" applyFill="1" applyBorder="1" applyProtection="1">
      <protection hidden="1"/>
    </xf>
    <xf numFmtId="0" fontId="0" fillId="25" borderId="65" xfId="0" applyFill="1" applyBorder="1" applyProtection="1">
      <protection hidden="1"/>
    </xf>
    <xf numFmtId="2" fontId="0" fillId="25" borderId="65" xfId="0" applyNumberFormat="1" applyFill="1" applyBorder="1" applyProtection="1">
      <protection hidden="1"/>
    </xf>
    <xf numFmtId="0" fontId="0" fillId="28" borderId="0" xfId="0" applyFill="1" applyBorder="1" applyAlignment="1" applyProtection="1">
      <alignment horizontal="left"/>
      <protection hidden="1"/>
    </xf>
    <xf numFmtId="0" fontId="0" fillId="0" borderId="0" xfId="0" applyFill="1" applyBorder="1" applyAlignment="1">
      <alignment vertical="center"/>
    </xf>
    <xf numFmtId="0" fontId="0" fillId="18" borderId="0" xfId="0" applyFill="1" applyProtection="1">
      <protection hidden="1"/>
    </xf>
    <xf numFmtId="0" fontId="3" fillId="7" borderId="0" xfId="0" applyFont="1" applyFill="1" applyProtection="1">
      <protection locked="0"/>
    </xf>
    <xf numFmtId="0" fontId="0" fillId="7" borderId="0" xfId="0" applyFill="1" applyProtection="1">
      <protection locked="0" hidden="1"/>
    </xf>
    <xf numFmtId="0" fontId="0" fillId="7" borderId="0" xfId="0" applyFill="1" applyProtection="1">
      <protection locked="0"/>
    </xf>
    <xf numFmtId="0" fontId="0" fillId="0" borderId="0" xfId="0" applyAlignment="1">
      <alignment horizontal="center" vertical="center"/>
    </xf>
    <xf numFmtId="0" fontId="24" fillId="28" borderId="0" xfId="0" applyFont="1" applyFill="1" applyBorder="1" applyAlignment="1" applyProtection="1">
      <alignment horizontal="center"/>
      <protection hidden="1"/>
    </xf>
    <xf numFmtId="1" fontId="4" fillId="15" borderId="0" xfId="0" applyNumberFormat="1" applyFont="1" applyFill="1" applyBorder="1" applyAlignment="1" applyProtection="1">
      <alignment horizontal="center" vertical="center"/>
    </xf>
    <xf numFmtId="0" fontId="28" fillId="15" borderId="0" xfId="0" applyFont="1" applyFill="1" applyBorder="1" applyProtection="1"/>
    <xf numFmtId="0" fontId="28" fillId="15" borderId="11" xfId="0" applyFont="1" applyFill="1" applyBorder="1" applyProtection="1"/>
    <xf numFmtId="0" fontId="0" fillId="10" borderId="0" xfId="0" applyFill="1"/>
    <xf numFmtId="0" fontId="26" fillId="10" borderId="0" xfId="0" applyFont="1" applyFill="1" applyAlignment="1">
      <alignment horizontal="left" vertical="center" readingOrder="1"/>
    </xf>
    <xf numFmtId="0" fontId="0" fillId="10" borderId="0" xfId="0" applyFill="1" applyAlignment="1">
      <alignment wrapText="1"/>
    </xf>
    <xf numFmtId="1" fontId="4" fillId="30" borderId="24" xfId="0" applyNumberFormat="1" applyFont="1" applyFill="1" applyBorder="1" applyAlignment="1" applyProtection="1">
      <alignment horizontal="center"/>
    </xf>
    <xf numFmtId="1" fontId="0" fillId="7" borderId="29" xfId="0" applyNumberFormat="1" applyFill="1" applyBorder="1" applyAlignment="1" applyProtection="1">
      <alignment horizontal="center" vertical="center"/>
      <protection locked="0"/>
    </xf>
    <xf numFmtId="0" fontId="0" fillId="10" borderId="0" xfId="0" applyFill="1" applyBorder="1"/>
    <xf numFmtId="0" fontId="4" fillId="15" borderId="43" xfId="0" applyFont="1" applyFill="1" applyBorder="1" applyProtection="1"/>
    <xf numFmtId="165" fontId="0" fillId="32" borderId="16" xfId="0" applyNumberFormat="1" applyFill="1" applyBorder="1" applyAlignment="1" applyProtection="1">
      <alignment horizontal="center" vertical="center"/>
    </xf>
    <xf numFmtId="0" fontId="0" fillId="32" borderId="16" xfId="0" applyFill="1" applyBorder="1" applyAlignment="1" applyProtection="1">
      <alignment horizontal="left" vertical="center"/>
    </xf>
    <xf numFmtId="0" fontId="0" fillId="14" borderId="43" xfId="0" applyFill="1" applyBorder="1" applyAlignment="1" applyProtection="1">
      <alignment horizontal="center" vertical="center"/>
      <protection locked="0"/>
    </xf>
    <xf numFmtId="0" fontId="0" fillId="14" borderId="16" xfId="0" applyFill="1" applyBorder="1" applyAlignment="1" applyProtection="1">
      <alignment horizontal="center" vertical="center"/>
      <protection locked="0"/>
    </xf>
    <xf numFmtId="2" fontId="0" fillId="7" borderId="16" xfId="0" applyNumberFormat="1" applyFill="1" applyBorder="1" applyAlignment="1" applyProtection="1">
      <alignment horizontal="center" vertical="center"/>
      <protection locked="0"/>
    </xf>
    <xf numFmtId="2" fontId="0" fillId="7" borderId="0" xfId="0" applyNumberFormat="1" applyFill="1" applyAlignment="1" applyProtection="1">
      <alignment horizontal="center" vertical="center"/>
      <protection locked="0"/>
    </xf>
    <xf numFmtId="0" fontId="0" fillId="7" borderId="16" xfId="0" applyFill="1" applyBorder="1" applyAlignment="1" applyProtection="1">
      <alignment horizontal="center" vertical="center"/>
      <protection locked="0"/>
    </xf>
    <xf numFmtId="0" fontId="0" fillId="7" borderId="19" xfId="0" applyFill="1" applyBorder="1" applyAlignment="1" applyProtection="1">
      <alignment vertical="top" wrapText="1"/>
      <protection locked="0"/>
    </xf>
    <xf numFmtId="0" fontId="0" fillId="7" borderId="18" xfId="0" applyFill="1" applyBorder="1" applyAlignment="1" applyProtection="1">
      <alignment vertical="top" wrapText="1"/>
      <protection locked="0"/>
    </xf>
    <xf numFmtId="0" fontId="0" fillId="7" borderId="16" xfId="0" quotePrefix="1" applyFill="1" applyBorder="1" applyAlignment="1" applyProtection="1">
      <alignment horizontal="center" vertical="center"/>
      <protection locked="0"/>
    </xf>
    <xf numFmtId="0" fontId="0" fillId="7" borderId="19" xfId="0" quotePrefix="1" applyFill="1" applyBorder="1" applyAlignment="1" applyProtection="1">
      <protection locked="0"/>
    </xf>
    <xf numFmtId="0" fontId="0" fillId="7" borderId="18" xfId="0" quotePrefix="1" applyFill="1" applyBorder="1" applyAlignment="1" applyProtection="1">
      <protection locked="0"/>
    </xf>
    <xf numFmtId="0" fontId="0" fillId="7" borderId="19" xfId="0" applyFill="1" applyBorder="1" applyAlignment="1" applyProtection="1">
      <protection locked="0"/>
    </xf>
    <xf numFmtId="0" fontId="0" fillId="7" borderId="18" xfId="0" applyFill="1" applyBorder="1" applyAlignment="1" applyProtection="1">
      <protection locked="0"/>
    </xf>
    <xf numFmtId="0" fontId="0" fillId="7" borderId="24" xfId="0" quotePrefix="1" applyFill="1" applyBorder="1" applyAlignment="1" applyProtection="1">
      <alignment horizontal="center" vertical="center"/>
      <protection locked="0"/>
    </xf>
    <xf numFmtId="0" fontId="0" fillId="7" borderId="25" xfId="0" quotePrefix="1" applyFill="1" applyBorder="1" applyAlignment="1" applyProtection="1">
      <alignment horizontal="center" vertical="center"/>
      <protection locked="0"/>
    </xf>
    <xf numFmtId="0" fontId="0" fillId="7" borderId="25" xfId="0" applyFill="1" applyBorder="1" applyAlignment="1" applyProtection="1">
      <alignment horizontal="center" vertical="center"/>
      <protection locked="0"/>
    </xf>
    <xf numFmtId="0" fontId="0" fillId="7" borderId="26" xfId="0" quotePrefix="1" applyFill="1" applyBorder="1" applyAlignment="1" applyProtection="1">
      <alignment horizontal="center" vertical="center"/>
      <protection locked="0"/>
    </xf>
    <xf numFmtId="0" fontId="0" fillId="7" borderId="27" xfId="0" quotePrefix="1" applyFill="1" applyBorder="1" applyAlignment="1" applyProtection="1">
      <alignment horizontal="center" vertical="center"/>
      <protection locked="0"/>
    </xf>
    <xf numFmtId="0" fontId="0" fillId="7" borderId="28" xfId="0" quotePrefix="1" applyFill="1" applyBorder="1" applyAlignment="1" applyProtection="1">
      <alignment horizontal="center" vertical="center"/>
      <protection locked="0"/>
    </xf>
    <xf numFmtId="0" fontId="0" fillId="7" borderId="43" xfId="0" quotePrefix="1" applyFill="1" applyBorder="1" applyAlignment="1" applyProtection="1">
      <alignment horizontal="center" vertical="center"/>
      <protection locked="0"/>
    </xf>
    <xf numFmtId="0" fontId="0" fillId="7" borderId="27" xfId="0" applyFill="1" applyBorder="1" applyAlignment="1" applyProtection="1">
      <alignment horizontal="center" vertical="center"/>
      <protection locked="0"/>
    </xf>
    <xf numFmtId="164" fontId="0" fillId="14" borderId="25" xfId="0" quotePrefix="1" applyNumberFormat="1" applyFill="1" applyBorder="1" applyAlignment="1" applyProtection="1">
      <alignment horizontal="center" vertical="center"/>
      <protection locked="0"/>
    </xf>
    <xf numFmtId="0" fontId="0" fillId="14" borderId="25" xfId="0" applyFill="1" applyBorder="1" applyAlignment="1" applyProtection="1">
      <alignment horizontal="center" vertical="center"/>
      <protection locked="0"/>
    </xf>
    <xf numFmtId="1" fontId="28" fillId="15" borderId="51" xfId="0" applyNumberFormat="1" applyFont="1" applyFill="1" applyBorder="1" applyAlignment="1" applyProtection="1">
      <alignment horizontal="center" vertical="center"/>
    </xf>
    <xf numFmtId="0" fontId="0" fillId="0" borderId="0" xfId="0" applyAlignment="1">
      <alignment horizontal="center" vertical="center"/>
    </xf>
    <xf numFmtId="1" fontId="3" fillId="0" borderId="0" xfId="0" applyNumberFormat="1" applyFont="1" applyAlignment="1">
      <alignment horizontal="center" vertical="center"/>
    </xf>
    <xf numFmtId="0" fontId="0" fillId="7" borderId="17" xfId="0" applyNumberFormat="1" applyFill="1" applyBorder="1" applyAlignment="1" applyProtection="1">
      <alignment horizontal="center" vertical="center"/>
      <protection locked="0"/>
    </xf>
    <xf numFmtId="2" fontId="0" fillId="17" borderId="16" xfId="0" applyNumberFormat="1" applyFill="1" applyBorder="1" applyAlignment="1" applyProtection="1">
      <alignment horizontal="center" vertical="center"/>
      <protection hidden="1"/>
    </xf>
    <xf numFmtId="0" fontId="0" fillId="28" borderId="0" xfId="0" applyFill="1" applyAlignment="1" applyProtection="1">
      <alignment vertical="center" wrapText="1"/>
      <protection hidden="1"/>
    </xf>
    <xf numFmtId="164" fontId="0" fillId="20" borderId="16" xfId="0" applyNumberFormat="1" applyFill="1" applyBorder="1" applyAlignment="1" applyProtection="1">
      <alignment horizontal="center" vertical="center"/>
      <protection locked="0" hidden="1"/>
    </xf>
    <xf numFmtId="0" fontId="1" fillId="28" borderId="0" xfId="0" applyFont="1" applyFill="1" applyAlignment="1" applyProtection="1">
      <alignment horizontal="left" vertical="center"/>
      <protection hidden="1"/>
    </xf>
    <xf numFmtId="164" fontId="0" fillId="28" borderId="0" xfId="0" applyNumberFormat="1" applyFill="1" applyBorder="1" applyAlignment="1" applyProtection="1">
      <alignment vertical="top" wrapText="1"/>
      <protection hidden="1"/>
    </xf>
    <xf numFmtId="0" fontId="0" fillId="28" borderId="0" xfId="0" quotePrefix="1" applyFill="1" applyBorder="1" applyProtection="1">
      <protection hidden="1"/>
    </xf>
    <xf numFmtId="0" fontId="0" fillId="28" borderId="23" xfId="0" applyFill="1" applyBorder="1" applyProtection="1">
      <protection hidden="1"/>
    </xf>
    <xf numFmtId="0" fontId="1" fillId="28" borderId="0" xfId="0" applyFont="1" applyFill="1" applyBorder="1" applyAlignment="1" applyProtection="1">
      <alignment horizontal="left"/>
      <protection hidden="1"/>
    </xf>
    <xf numFmtId="165" fontId="0" fillId="0" borderId="0" xfId="0" applyNumberFormat="1" applyFill="1" applyBorder="1" applyAlignment="1" applyProtection="1">
      <alignment horizontal="center" vertical="center"/>
    </xf>
    <xf numFmtId="0" fontId="0" fillId="28" borderId="0" xfId="0" applyFill="1" applyBorder="1" applyAlignment="1" applyProtection="1">
      <alignment vertical="center"/>
      <protection hidden="1"/>
    </xf>
    <xf numFmtId="0" fontId="0" fillId="14" borderId="16" xfId="0" applyFill="1" applyBorder="1" applyAlignment="1" applyProtection="1">
      <alignment horizontal="center" vertical="center"/>
    </xf>
    <xf numFmtId="0" fontId="0" fillId="16" borderId="0" xfId="0" applyFill="1" applyAlignment="1" applyProtection="1">
      <alignment horizontal="center" vertical="center"/>
      <protection hidden="1"/>
    </xf>
    <xf numFmtId="0" fontId="0" fillId="8" borderId="9" xfId="0" applyFill="1" applyBorder="1" applyProtection="1">
      <protection hidden="1"/>
    </xf>
    <xf numFmtId="0" fontId="19" fillId="8" borderId="12" xfId="0" applyFont="1" applyFill="1" applyBorder="1" applyAlignment="1" applyProtection="1">
      <alignment horizontal="center" vertical="center"/>
      <protection hidden="1"/>
    </xf>
    <xf numFmtId="0" fontId="0" fillId="27" borderId="0" xfId="0" applyFill="1" applyAlignment="1" applyProtection="1">
      <alignment horizontal="center" vertical="center"/>
      <protection hidden="1"/>
    </xf>
    <xf numFmtId="0" fontId="3" fillId="18" borderId="16" xfId="0" applyFont="1" applyFill="1" applyBorder="1"/>
    <xf numFmtId="0" fontId="0" fillId="18" borderId="56" xfId="0" applyFill="1" applyBorder="1" applyAlignment="1">
      <alignment horizontal="center" vertical="center"/>
    </xf>
    <xf numFmtId="0" fontId="0" fillId="18" borderId="41" xfId="0" applyFill="1" applyBorder="1" applyAlignment="1">
      <alignment horizontal="center" vertical="center"/>
    </xf>
    <xf numFmtId="0" fontId="0" fillId="18" borderId="0" xfId="0" applyFill="1" applyBorder="1" applyAlignment="1" applyProtection="1">
      <alignment horizontal="center" vertical="center"/>
    </xf>
    <xf numFmtId="0" fontId="0" fillId="18" borderId="0" xfId="0" applyFill="1" applyBorder="1" applyProtection="1"/>
    <xf numFmtId="0" fontId="0" fillId="0" borderId="0" xfId="0" applyAlignment="1">
      <alignment horizontal="center" vertical="center"/>
    </xf>
    <xf numFmtId="0" fontId="0" fillId="0" borderId="0" xfId="0" applyAlignment="1">
      <alignment horizontal="center" vertical="center"/>
    </xf>
    <xf numFmtId="0" fontId="21" fillId="0" borderId="0" xfId="0" applyFont="1"/>
    <xf numFmtId="0" fontId="11" fillId="0" borderId="1" xfId="0" applyFont="1" applyBorder="1"/>
    <xf numFmtId="0" fontId="11" fillId="0" borderId="8" xfId="0" applyFont="1" applyBorder="1"/>
    <xf numFmtId="0" fontId="0" fillId="0" borderId="16" xfId="0" applyFont="1" applyBorder="1"/>
    <xf numFmtId="0" fontId="0" fillId="0" borderId="0" xfId="0" applyFill="1" applyBorder="1" applyAlignment="1" applyProtection="1">
      <alignment vertical="center"/>
      <protection locked="0"/>
    </xf>
    <xf numFmtId="0" fontId="0" fillId="7" borderId="16" xfId="0" applyFill="1" applyBorder="1" applyAlignment="1" applyProtection="1">
      <alignment horizontal="left" vertical="center" wrapText="1"/>
      <protection locked="0"/>
    </xf>
    <xf numFmtId="0" fontId="11" fillId="28" borderId="1" xfId="0" applyFont="1" applyFill="1" applyBorder="1" applyAlignment="1" applyProtection="1">
      <alignment horizontal="center" vertical="center"/>
      <protection hidden="1"/>
    </xf>
    <xf numFmtId="0" fontId="11" fillId="0" borderId="16" xfId="0" applyFont="1" applyBorder="1"/>
    <xf numFmtId="0" fontId="0" fillId="0" borderId="21" xfId="0" applyBorder="1" applyAlignment="1">
      <alignment horizontal="center" vertical="center"/>
    </xf>
    <xf numFmtId="0" fontId="0" fillId="0" borderId="16" xfId="0" applyBorder="1" applyAlignment="1">
      <alignment horizontal="center" vertical="center"/>
    </xf>
    <xf numFmtId="0" fontId="0" fillId="0" borderId="16" xfId="0" applyFill="1" applyBorder="1"/>
    <xf numFmtId="0" fontId="0" fillId="18" borderId="17" xfId="0" quotePrefix="1" applyFill="1" applyBorder="1" applyAlignment="1" applyProtection="1"/>
    <xf numFmtId="0" fontId="0" fillId="18" borderId="18" xfId="0" applyFill="1" applyBorder="1" applyAlignment="1" applyProtection="1"/>
    <xf numFmtId="0" fontId="0" fillId="7" borderId="16" xfId="0" quotePrefix="1" applyFill="1" applyBorder="1" applyAlignment="1" applyProtection="1">
      <alignment horizontal="center" vertical="center"/>
    </xf>
    <xf numFmtId="0" fontId="0" fillId="7" borderId="16" xfId="0" applyFill="1" applyBorder="1" applyAlignment="1" applyProtection="1">
      <alignment horizontal="center" vertical="center"/>
    </xf>
    <xf numFmtId="0" fontId="0" fillId="28" borderId="0" xfId="0" applyFill="1" applyAlignment="1" applyProtection="1">
      <alignment horizontal="center" vertical="center"/>
      <protection locked="0" hidden="1"/>
    </xf>
    <xf numFmtId="0" fontId="0" fillId="0" borderId="24" xfId="0" applyFill="1" applyBorder="1" applyProtection="1">
      <protection hidden="1"/>
    </xf>
    <xf numFmtId="0" fontId="0" fillId="28" borderId="16" xfId="0" applyFill="1" applyBorder="1" applyAlignment="1" applyProtection="1">
      <alignment horizontal="center" vertical="center"/>
      <protection locked="0" hidden="1"/>
    </xf>
    <xf numFmtId="0" fontId="0" fillId="33" borderId="17" xfId="0" applyFill="1" applyBorder="1" applyAlignment="1" applyProtection="1">
      <alignment vertical="center" wrapText="1"/>
      <protection locked="0" hidden="1"/>
    </xf>
    <xf numFmtId="0" fontId="0" fillId="33" borderId="18" xfId="0" applyFill="1" applyBorder="1" applyAlignment="1" applyProtection="1">
      <alignment vertical="center" wrapText="1"/>
      <protection locked="0" hidden="1"/>
    </xf>
    <xf numFmtId="0" fontId="0" fillId="0" borderId="0" xfId="0" applyAlignment="1" applyProtection="1">
      <alignment horizontal="center" vertical="center"/>
      <protection locked="0" hidden="1"/>
    </xf>
    <xf numFmtId="0" fontId="0" fillId="0" borderId="0" xfId="0" applyFill="1" applyAlignment="1" applyProtection="1">
      <alignment horizontal="center" vertical="center"/>
      <protection locked="0" hidden="1"/>
    </xf>
    <xf numFmtId="0" fontId="0" fillId="0" borderId="0" xfId="0" applyAlignment="1" applyProtection="1">
      <alignment horizontal="left" vertical="center" wrapText="1"/>
      <protection locked="0"/>
    </xf>
    <xf numFmtId="0" fontId="11" fillId="7" borderId="14" xfId="0" applyFont="1" applyFill="1" applyBorder="1" applyAlignment="1" applyProtection="1">
      <alignment horizontal="left" vertical="center" wrapText="1"/>
      <protection locked="0"/>
    </xf>
    <xf numFmtId="0" fontId="0" fillId="7" borderId="21" xfId="0" applyFill="1" applyBorder="1" applyAlignment="1" applyProtection="1">
      <alignment horizontal="left" vertical="center" wrapText="1"/>
      <protection locked="0"/>
    </xf>
    <xf numFmtId="0" fontId="0" fillId="7" borderId="16" xfId="0" quotePrefix="1" applyFill="1" applyBorder="1" applyAlignment="1" applyProtection="1">
      <alignment horizontal="left" vertical="center" wrapText="1"/>
      <protection locked="0"/>
    </xf>
    <xf numFmtId="0" fontId="3" fillId="7" borderId="16" xfId="0" applyFont="1" applyFill="1" applyBorder="1" applyAlignment="1" applyProtection="1">
      <alignment horizontal="left" vertical="center" wrapText="1"/>
      <protection locked="0"/>
    </xf>
    <xf numFmtId="0" fontId="0" fillId="7" borderId="16"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11" fillId="7" borderId="15" xfId="0" applyFont="1" applyFill="1" applyBorder="1" applyAlignment="1" applyProtection="1">
      <alignment horizontal="left" vertical="center" wrapText="1"/>
      <protection locked="0"/>
    </xf>
    <xf numFmtId="0" fontId="11" fillId="7" borderId="7" xfId="0" applyFont="1" applyFill="1" applyBorder="1" applyAlignment="1" applyProtection="1">
      <alignment horizontal="left" vertical="center"/>
      <protection locked="0"/>
    </xf>
    <xf numFmtId="0" fontId="0" fillId="7" borderId="21" xfId="0" applyFill="1" applyBorder="1" applyAlignment="1" applyProtection="1">
      <alignment horizontal="left" vertical="center"/>
      <protection locked="0"/>
    </xf>
    <xf numFmtId="0" fontId="26" fillId="7" borderId="0" xfId="0" applyFont="1" applyFill="1" applyAlignment="1" applyProtection="1">
      <alignment horizontal="left" vertical="center" wrapText="1"/>
      <protection locked="0"/>
    </xf>
    <xf numFmtId="0" fontId="0" fillId="7" borderId="18" xfId="0" applyFill="1" applyBorder="1" applyAlignment="1" applyProtection="1">
      <alignment horizontal="left" vertical="center"/>
      <protection locked="0"/>
    </xf>
    <xf numFmtId="0" fontId="0" fillId="7" borderId="17" xfId="0" applyFill="1" applyBorder="1" applyAlignment="1" applyProtection="1">
      <alignment horizontal="left" vertical="center" wrapText="1"/>
      <protection locked="0"/>
    </xf>
    <xf numFmtId="0" fontId="0" fillId="7" borderId="22" xfId="0" applyFont="1" applyFill="1" applyBorder="1" applyAlignment="1" applyProtection="1">
      <alignment horizontal="left" vertical="center" wrapText="1"/>
      <protection locked="0"/>
    </xf>
    <xf numFmtId="0" fontId="32" fillId="7" borderId="0" xfId="0" applyFont="1" applyFill="1" applyProtection="1">
      <protection locked="0"/>
    </xf>
    <xf numFmtId="0" fontId="0" fillId="7" borderId="18" xfId="0" quotePrefix="1" applyFill="1" applyBorder="1" applyAlignment="1" applyProtection="1">
      <alignment horizontal="left" vertical="center"/>
      <protection locked="0"/>
    </xf>
    <xf numFmtId="0" fontId="0" fillId="7" borderId="16" xfId="0" quotePrefix="1" applyFill="1" applyBorder="1" applyAlignment="1" applyProtection="1">
      <alignment horizontal="left" vertical="center"/>
      <protection locked="0"/>
    </xf>
    <xf numFmtId="0" fontId="0" fillId="7" borderId="16" xfId="0" applyFont="1" applyFill="1" applyBorder="1" applyAlignment="1" applyProtection="1">
      <alignment horizontal="left" vertical="center" wrapText="1"/>
      <protection locked="0"/>
    </xf>
    <xf numFmtId="14" fontId="3" fillId="0" borderId="0" xfId="0" applyNumberFormat="1" applyFont="1"/>
    <xf numFmtId="0" fontId="0" fillId="0" borderId="0" xfId="0" applyAlignment="1">
      <alignment vertical="center" wrapText="1"/>
    </xf>
    <xf numFmtId="0" fontId="35" fillId="0" borderId="68" xfId="0" applyFont="1" applyBorder="1" applyAlignment="1">
      <alignment vertical="center" wrapText="1"/>
    </xf>
    <xf numFmtId="0" fontId="34" fillId="0" borderId="0" xfId="0" applyFont="1" applyAlignment="1">
      <alignment vertical="center" wrapText="1"/>
    </xf>
    <xf numFmtId="0" fontId="34" fillId="0" borderId="0" xfId="0" applyFont="1"/>
    <xf numFmtId="0" fontId="33" fillId="0" borderId="0" xfId="1"/>
    <xf numFmtId="0" fontId="36" fillId="0" borderId="68" xfId="0" applyFont="1" applyBorder="1" applyAlignment="1">
      <alignment vertical="center" wrapText="1"/>
    </xf>
    <xf numFmtId="0" fontId="37" fillId="0" borderId="68" xfId="0" applyFont="1" applyBorder="1" applyAlignment="1">
      <alignment vertical="center" wrapText="1"/>
    </xf>
    <xf numFmtId="0" fontId="37" fillId="0" borderId="0" xfId="0" applyFont="1" applyAlignment="1">
      <alignmen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4" fillId="0" borderId="0" xfId="0" applyFont="1" applyAlignment="1">
      <alignment horizontal="left" vertical="center" wrapText="1"/>
    </xf>
    <xf numFmtId="0" fontId="37" fillId="0" borderId="69" xfId="0" applyFont="1" applyBorder="1" applyAlignment="1">
      <alignment vertical="center" wrapText="1"/>
    </xf>
    <xf numFmtId="0" fontId="37" fillId="0" borderId="0" xfId="0" applyFont="1" applyAlignment="1">
      <alignment vertical="center" wrapText="1"/>
    </xf>
    <xf numFmtId="0" fontId="1" fillId="28" borderId="16" xfId="0" applyFont="1" applyFill="1" applyBorder="1" applyAlignment="1" applyProtection="1">
      <alignment horizontal="center" vertical="center"/>
      <protection hidden="1"/>
    </xf>
    <xf numFmtId="0" fontId="19" fillId="8" borderId="19" xfId="0" applyFont="1" applyFill="1" applyBorder="1" applyAlignment="1" applyProtection="1">
      <alignment horizontal="center" vertical="center"/>
      <protection hidden="1"/>
    </xf>
    <xf numFmtId="0" fontId="0" fillId="8" borderId="3" xfId="0" applyFont="1" applyFill="1" applyBorder="1" applyAlignment="1" applyProtection="1">
      <alignment horizontal="center" vertical="center" wrapText="1"/>
      <protection hidden="1"/>
    </xf>
    <xf numFmtId="0" fontId="0" fillId="8" borderId="11" xfId="0" applyFont="1" applyFill="1" applyBorder="1" applyAlignment="1" applyProtection="1">
      <alignment horizontal="center" vertical="center" wrapText="1"/>
      <protection hidden="1"/>
    </xf>
    <xf numFmtId="0" fontId="0" fillId="8" borderId="12" xfId="0" applyFont="1" applyFill="1" applyBorder="1" applyAlignment="1" applyProtection="1">
      <alignment horizontal="center" vertical="center" wrapText="1"/>
      <protection hidden="1"/>
    </xf>
    <xf numFmtId="0" fontId="1" fillId="28" borderId="37" xfId="0" applyFont="1" applyFill="1" applyBorder="1" applyAlignment="1" applyProtection="1">
      <alignment horizontal="left" vertical="center" wrapText="1"/>
      <protection hidden="1"/>
    </xf>
    <xf numFmtId="0" fontId="27" fillId="28" borderId="0" xfId="0" applyFont="1" applyFill="1" applyBorder="1" applyAlignment="1" applyProtection="1">
      <alignment horizontal="left" vertical="top" wrapText="1"/>
      <protection hidden="1"/>
    </xf>
    <xf numFmtId="0" fontId="0" fillId="28" borderId="0" xfId="0" applyFill="1" applyBorder="1" applyAlignment="1" applyProtection="1">
      <alignment horizontal="left" vertical="top" wrapText="1"/>
      <protection hidden="1"/>
    </xf>
    <xf numFmtId="0" fontId="20" fillId="8" borderId="1" xfId="0" applyFont="1" applyFill="1" applyBorder="1" applyAlignment="1" applyProtection="1">
      <alignment horizontal="center" vertical="center" wrapText="1"/>
      <protection hidden="1"/>
    </xf>
    <xf numFmtId="0" fontId="20" fillId="8" borderId="8" xfId="0" applyFont="1" applyFill="1" applyBorder="1" applyAlignment="1" applyProtection="1">
      <alignment horizontal="center" vertical="center" wrapText="1"/>
      <protection hidden="1"/>
    </xf>
    <xf numFmtId="0" fontId="20" fillId="8" borderId="9" xfId="0" applyFont="1" applyFill="1" applyBorder="1" applyAlignment="1" applyProtection="1">
      <alignment horizontal="center" vertical="center" wrapText="1"/>
      <protection hidden="1"/>
    </xf>
    <xf numFmtId="0" fontId="20" fillId="8" borderId="3" xfId="0" applyFont="1" applyFill="1" applyBorder="1" applyAlignment="1" applyProtection="1">
      <alignment horizontal="center" vertical="center" wrapText="1"/>
      <protection hidden="1"/>
    </xf>
    <xf numFmtId="0" fontId="20" fillId="8" borderId="11" xfId="0" applyFont="1" applyFill="1" applyBorder="1" applyAlignment="1" applyProtection="1">
      <alignment horizontal="center" vertical="center" wrapText="1"/>
      <protection hidden="1"/>
    </xf>
    <xf numFmtId="0" fontId="20" fillId="8" borderId="12" xfId="0" applyFont="1" applyFill="1" applyBorder="1" applyAlignment="1" applyProtection="1">
      <alignment horizontal="center" vertical="center" wrapText="1"/>
      <protection hidden="1"/>
    </xf>
    <xf numFmtId="0" fontId="11" fillId="28" borderId="11" xfId="0" applyFont="1" applyFill="1" applyBorder="1" applyAlignment="1" applyProtection="1">
      <alignment horizontal="center" vertical="center"/>
      <protection hidden="1"/>
    </xf>
    <xf numFmtId="0" fontId="11" fillId="28" borderId="8" xfId="0" applyFont="1" applyFill="1" applyBorder="1" applyAlignment="1" applyProtection="1">
      <alignment horizontal="center" vertical="center" wrapText="1"/>
      <protection hidden="1"/>
    </xf>
    <xf numFmtId="0" fontId="31" fillId="8" borderId="0" xfId="0" applyFont="1" applyFill="1" applyBorder="1" applyAlignment="1" applyProtection="1">
      <alignment horizontal="center" vertical="center" wrapText="1"/>
      <protection hidden="1"/>
    </xf>
    <xf numFmtId="0" fontId="1" fillId="28" borderId="17" xfId="0" applyFont="1" applyFill="1" applyBorder="1" applyAlignment="1" applyProtection="1">
      <alignment horizontal="center" vertical="center"/>
      <protection hidden="1"/>
    </xf>
    <xf numFmtId="0" fontId="1" fillId="28" borderId="18" xfId="0" applyFont="1" applyFill="1" applyBorder="1" applyAlignment="1" applyProtection="1">
      <alignment horizontal="center" vertical="center"/>
      <protection hidden="1"/>
    </xf>
    <xf numFmtId="0" fontId="0" fillId="8" borderId="0" xfId="0" applyFill="1" applyBorder="1" applyAlignment="1" applyProtection="1">
      <alignment horizontal="left" vertical="top" wrapText="1"/>
      <protection hidden="1"/>
    </xf>
    <xf numFmtId="0" fontId="0" fillId="21" borderId="16" xfId="0" applyFill="1" applyBorder="1" applyAlignment="1" applyProtection="1">
      <alignment horizontal="center" vertical="center" wrapText="1"/>
      <protection hidden="1"/>
    </xf>
    <xf numFmtId="0" fontId="0" fillId="8" borderId="0" xfId="0" applyFill="1" applyAlignment="1" applyProtection="1">
      <alignment horizontal="center" vertical="center" wrapText="1"/>
      <protection hidden="1"/>
    </xf>
    <xf numFmtId="0" fontId="29" fillId="28" borderId="0" xfId="0" applyFont="1" applyFill="1" applyAlignment="1" applyProtection="1">
      <alignment horizontal="center" vertical="center"/>
      <protection hidden="1"/>
    </xf>
    <xf numFmtId="164" fontId="0" fillId="20" borderId="56" xfId="0" applyNumberFormat="1" applyFill="1" applyBorder="1" applyAlignment="1" applyProtection="1">
      <alignment horizontal="left" vertical="center"/>
      <protection locked="0" hidden="1"/>
    </xf>
    <xf numFmtId="164" fontId="0" fillId="20" borderId="23" xfId="0" applyNumberFormat="1" applyFill="1" applyBorder="1" applyAlignment="1" applyProtection="1">
      <alignment horizontal="left" vertical="center"/>
      <protection locked="0" hidden="1"/>
    </xf>
    <xf numFmtId="164" fontId="0" fillId="20" borderId="57" xfId="0" applyNumberFormat="1" applyFill="1" applyBorder="1" applyAlignment="1" applyProtection="1">
      <alignment horizontal="left" vertical="center"/>
      <protection locked="0" hidden="1"/>
    </xf>
    <xf numFmtId="164" fontId="0" fillId="20" borderId="53" xfId="0" applyNumberFormat="1" applyFill="1" applyBorder="1" applyAlignment="1" applyProtection="1">
      <alignment horizontal="left" vertical="center"/>
      <protection locked="0" hidden="1"/>
    </xf>
    <xf numFmtId="164" fontId="0" fillId="20" borderId="37" xfId="0" applyNumberFormat="1" applyFill="1" applyBorder="1" applyAlignment="1" applyProtection="1">
      <alignment horizontal="left" vertical="center"/>
      <protection locked="0" hidden="1"/>
    </xf>
    <xf numFmtId="164" fontId="0" fillId="20" borderId="58" xfId="0" applyNumberFormat="1" applyFill="1" applyBorder="1" applyAlignment="1" applyProtection="1">
      <alignment horizontal="left" vertical="center"/>
      <protection locked="0" hidden="1"/>
    </xf>
    <xf numFmtId="0" fontId="0" fillId="20" borderId="17" xfId="0" applyFill="1" applyBorder="1" applyAlignment="1" applyProtection="1">
      <alignment horizontal="center" vertical="center"/>
      <protection locked="0" hidden="1"/>
    </xf>
    <xf numFmtId="0" fontId="0" fillId="20" borderId="19" xfId="0" applyFill="1" applyBorder="1" applyAlignment="1" applyProtection="1">
      <alignment horizontal="center" vertical="center"/>
      <protection locked="0" hidden="1"/>
    </xf>
    <xf numFmtId="0" fontId="0" fillId="20" borderId="18" xfId="0" applyFill="1" applyBorder="1" applyAlignment="1" applyProtection="1">
      <alignment horizontal="center" vertical="center"/>
      <protection locked="0" hidden="1"/>
    </xf>
    <xf numFmtId="0" fontId="0" fillId="8" borderId="0" xfId="0" applyFill="1" applyAlignment="1" applyProtection="1">
      <alignment horizontal="left" vertical="center" wrapText="1"/>
      <protection hidden="1"/>
    </xf>
    <xf numFmtId="0" fontId="0" fillId="14" borderId="17" xfId="0" applyFill="1" applyBorder="1" applyAlignment="1" applyProtection="1">
      <alignment horizontal="center" vertical="center"/>
      <protection locked="0" hidden="1"/>
    </xf>
    <xf numFmtId="0" fontId="0" fillId="14" borderId="18" xfId="0" applyFill="1" applyBorder="1" applyAlignment="1" applyProtection="1">
      <alignment horizontal="center" vertical="center"/>
      <protection locked="0" hidden="1"/>
    </xf>
    <xf numFmtId="0" fontId="0" fillId="19" borderId="17" xfId="0" applyFill="1" applyBorder="1" applyAlignment="1" applyProtection="1">
      <alignment horizontal="left" vertical="center" wrapText="1"/>
      <protection hidden="1"/>
    </xf>
    <xf numFmtId="0" fontId="0" fillId="19" borderId="19" xfId="0" applyFill="1" applyBorder="1" applyAlignment="1" applyProtection="1">
      <alignment horizontal="left" vertical="center" wrapText="1"/>
      <protection hidden="1"/>
    </xf>
    <xf numFmtId="0" fontId="0" fillId="19" borderId="18" xfId="0" applyFill="1" applyBorder="1" applyAlignment="1" applyProtection="1">
      <alignment horizontal="left" vertical="center" wrapText="1"/>
      <protection hidden="1"/>
    </xf>
    <xf numFmtId="0" fontId="0" fillId="19" borderId="17" xfId="0" applyFill="1" applyBorder="1" applyAlignment="1">
      <alignment horizontal="left" vertical="center" wrapText="1"/>
    </xf>
    <xf numFmtId="0" fontId="0" fillId="19" borderId="19" xfId="0" applyFill="1" applyBorder="1" applyAlignment="1">
      <alignment horizontal="left" vertical="center" wrapText="1"/>
    </xf>
    <xf numFmtId="0" fontId="0" fillId="19" borderId="18" xfId="0" applyFill="1" applyBorder="1" applyAlignment="1">
      <alignment horizontal="left" vertical="center" wrapText="1"/>
    </xf>
    <xf numFmtId="0" fontId="0" fillId="8" borderId="5" xfId="0" applyFont="1" applyFill="1" applyBorder="1" applyAlignment="1" applyProtection="1">
      <alignment horizontal="center" vertical="center"/>
      <protection hidden="1"/>
    </xf>
    <xf numFmtId="0" fontId="0" fillId="8" borderId="0" xfId="0" applyFont="1" applyFill="1" applyBorder="1" applyAlignment="1" applyProtection="1">
      <alignment horizontal="center" vertical="center"/>
      <protection hidden="1"/>
    </xf>
    <xf numFmtId="0" fontId="0" fillId="8" borderId="10" xfId="0" applyFont="1" applyFill="1" applyBorder="1" applyAlignment="1" applyProtection="1">
      <alignment horizontal="center" vertical="center"/>
      <protection hidden="1"/>
    </xf>
    <xf numFmtId="0" fontId="0" fillId="8" borderId="5" xfId="0" applyFont="1" applyFill="1" applyBorder="1" applyAlignment="1" applyProtection="1">
      <alignment horizontal="center" vertical="center" wrapText="1"/>
      <protection hidden="1"/>
    </xf>
    <xf numFmtId="0" fontId="0" fillId="8" borderId="0" xfId="0" applyFont="1" applyFill="1" applyBorder="1" applyAlignment="1" applyProtection="1">
      <alignment horizontal="center" vertical="center" wrapText="1"/>
      <protection hidden="1"/>
    </xf>
    <xf numFmtId="0" fontId="0" fillId="8" borderId="10" xfId="0" applyFont="1" applyFill="1" applyBorder="1" applyAlignment="1" applyProtection="1">
      <alignment horizontal="center" vertical="center" wrapText="1"/>
      <protection hidden="1"/>
    </xf>
    <xf numFmtId="0" fontId="0" fillId="33" borderId="17" xfId="0" applyFill="1" applyBorder="1" applyAlignment="1" applyProtection="1">
      <alignment horizontal="center" vertical="center"/>
      <protection locked="0" hidden="1"/>
    </xf>
    <xf numFmtId="0" fontId="0" fillId="33" borderId="18" xfId="0" applyFill="1" applyBorder="1" applyAlignment="1" applyProtection="1">
      <alignment horizontal="center" vertical="center"/>
      <protection locked="0" hidden="1"/>
    </xf>
    <xf numFmtId="0" fontId="23" fillId="28" borderId="0" xfId="0" applyFont="1" applyFill="1" applyAlignment="1" applyProtection="1">
      <alignment horizontal="center"/>
      <protection hidden="1"/>
    </xf>
    <xf numFmtId="0" fontId="11" fillId="19" borderId="1" xfId="0" applyFont="1" applyFill="1" applyBorder="1" applyAlignment="1" applyProtection="1">
      <alignment horizontal="center" vertical="center" wrapText="1"/>
      <protection hidden="1"/>
    </xf>
    <xf numFmtId="0" fontId="11" fillId="19" borderId="8" xfId="0" applyFont="1" applyFill="1" applyBorder="1" applyAlignment="1" applyProtection="1">
      <alignment horizontal="center" vertical="center" wrapText="1"/>
      <protection hidden="1"/>
    </xf>
    <xf numFmtId="0" fontId="11" fillId="19" borderId="9" xfId="0" applyFont="1" applyFill="1" applyBorder="1" applyAlignment="1" applyProtection="1">
      <alignment horizontal="center" vertical="center" wrapText="1"/>
      <protection hidden="1"/>
    </xf>
    <xf numFmtId="0" fontId="11" fillId="19" borderId="3" xfId="0" applyFont="1" applyFill="1" applyBorder="1" applyAlignment="1" applyProtection="1">
      <alignment horizontal="center" vertical="center" wrapText="1"/>
      <protection hidden="1"/>
    </xf>
    <xf numFmtId="0" fontId="11" fillId="19" borderId="11" xfId="0" applyFont="1" applyFill="1" applyBorder="1" applyAlignment="1" applyProtection="1">
      <alignment horizontal="center" vertical="center" wrapText="1"/>
      <protection hidden="1"/>
    </xf>
    <xf numFmtId="0" fontId="11" fillId="19" borderId="12" xfId="0" applyFont="1" applyFill="1" applyBorder="1" applyAlignment="1" applyProtection="1">
      <alignment horizontal="center" vertical="center" wrapText="1"/>
      <protection hidden="1"/>
    </xf>
    <xf numFmtId="0" fontId="0" fillId="8" borderId="1" xfId="0" applyFont="1" applyFill="1" applyBorder="1" applyAlignment="1" applyProtection="1">
      <alignment horizontal="center" vertical="center"/>
      <protection hidden="1"/>
    </xf>
    <xf numFmtId="0" fontId="0" fillId="8" borderId="8" xfId="0" applyFont="1" applyFill="1" applyBorder="1" applyAlignment="1" applyProtection="1">
      <alignment horizontal="center" vertical="center"/>
      <protection hidden="1"/>
    </xf>
    <xf numFmtId="0" fontId="0" fillId="8" borderId="9" xfId="0" applyFont="1" applyFill="1" applyBorder="1" applyAlignment="1" applyProtection="1">
      <alignment horizontal="center" vertical="center"/>
      <protection hidden="1"/>
    </xf>
    <xf numFmtId="0" fontId="20" fillId="8" borderId="0" xfId="0" applyFont="1" applyFill="1" applyAlignment="1" applyProtection="1">
      <alignment horizontal="center" vertical="center"/>
      <protection hidden="1"/>
    </xf>
    <xf numFmtId="0" fontId="0" fillId="28" borderId="0" xfId="0" applyFill="1" applyAlignment="1" applyProtection="1">
      <alignment horizontal="center"/>
      <protection hidden="1"/>
    </xf>
    <xf numFmtId="0" fontId="1" fillId="28" borderId="0" xfId="0" applyFont="1" applyFill="1" applyAlignment="1" applyProtection="1">
      <alignment horizontal="center" vertical="center" wrapText="1"/>
      <protection hidden="1"/>
    </xf>
    <xf numFmtId="0" fontId="0" fillId="21" borderId="17" xfId="0" applyFill="1" applyBorder="1" applyAlignment="1" applyProtection="1">
      <alignment horizontal="center" vertical="center" wrapText="1"/>
      <protection hidden="1"/>
    </xf>
    <xf numFmtId="0" fontId="0" fillId="21" borderId="19" xfId="0" applyFill="1" applyBorder="1" applyAlignment="1" applyProtection="1">
      <alignment horizontal="center" vertical="center" wrapText="1"/>
      <protection hidden="1"/>
    </xf>
    <xf numFmtId="0" fontId="0" fillId="21" borderId="18" xfId="0" applyFill="1" applyBorder="1" applyAlignment="1" applyProtection="1">
      <alignment horizontal="center" vertical="center" wrapText="1"/>
      <protection hidden="1"/>
    </xf>
    <xf numFmtId="0" fontId="0" fillId="20" borderId="17" xfId="0" applyFill="1" applyBorder="1" applyAlignment="1" applyProtection="1">
      <alignment horizontal="left" vertical="center"/>
      <protection locked="0" hidden="1"/>
    </xf>
    <xf numFmtId="0" fontId="0" fillId="20" borderId="18" xfId="0" applyFill="1" applyBorder="1" applyAlignment="1" applyProtection="1">
      <alignment horizontal="left" vertical="center"/>
      <protection locked="0" hidden="1"/>
    </xf>
    <xf numFmtId="0" fontId="0" fillId="20" borderId="56" xfId="0" applyFill="1" applyBorder="1" applyAlignment="1" applyProtection="1">
      <alignment horizontal="left" vertical="center"/>
      <protection locked="0" hidden="1"/>
    </xf>
    <xf numFmtId="0" fontId="0" fillId="20" borderId="23" xfId="0" applyFill="1" applyBorder="1" applyAlignment="1" applyProtection="1">
      <alignment horizontal="left" vertical="center"/>
      <protection locked="0" hidden="1"/>
    </xf>
    <xf numFmtId="0" fontId="0" fillId="20" borderId="57" xfId="0" applyFill="1" applyBorder="1" applyAlignment="1" applyProtection="1">
      <alignment horizontal="left" vertical="center"/>
      <protection locked="0" hidden="1"/>
    </xf>
    <xf numFmtId="0" fontId="19" fillId="8" borderId="8" xfId="0" applyFont="1" applyFill="1" applyBorder="1" applyAlignment="1" applyProtection="1">
      <alignment horizontal="center" vertical="center"/>
      <protection hidden="1"/>
    </xf>
    <xf numFmtId="0" fontId="0" fillId="18" borderId="17" xfId="0" applyFont="1" applyFill="1" applyBorder="1" applyAlignment="1" applyProtection="1">
      <alignment horizontal="center" vertical="center" wrapText="1"/>
      <protection hidden="1"/>
    </xf>
    <xf numFmtId="0" fontId="0" fillId="18" borderId="19" xfId="0" applyFont="1" applyFill="1" applyBorder="1" applyAlignment="1" applyProtection="1">
      <alignment horizontal="center" vertical="center" wrapText="1"/>
      <protection hidden="1"/>
    </xf>
    <xf numFmtId="0" fontId="0" fillId="18" borderId="18" xfId="0" applyFont="1" applyFill="1" applyBorder="1" applyAlignment="1" applyProtection="1">
      <alignment horizontal="center" vertical="center" wrapText="1"/>
      <protection hidden="1"/>
    </xf>
    <xf numFmtId="0" fontId="30" fillId="8" borderId="0" xfId="0" applyFont="1" applyFill="1" applyAlignment="1" applyProtection="1">
      <alignment horizontal="left" vertical="center" wrapText="1"/>
      <protection hidden="1"/>
    </xf>
    <xf numFmtId="0" fontId="19" fillId="8" borderId="1" xfId="0" applyFont="1" applyFill="1" applyBorder="1" applyAlignment="1" applyProtection="1">
      <alignment horizontal="left" vertical="top"/>
      <protection locked="0" hidden="1"/>
    </xf>
    <xf numFmtId="0" fontId="19" fillId="8" borderId="8" xfId="0" applyFont="1" applyFill="1" applyBorder="1" applyAlignment="1" applyProtection="1">
      <alignment horizontal="left" vertical="top"/>
      <protection locked="0" hidden="1"/>
    </xf>
    <xf numFmtId="0" fontId="19" fillId="8" borderId="3" xfId="0" applyFont="1" applyFill="1" applyBorder="1" applyAlignment="1" applyProtection="1">
      <alignment horizontal="left" vertical="center"/>
      <protection hidden="1"/>
    </xf>
    <xf numFmtId="0" fontId="19" fillId="8" borderId="11" xfId="0" applyFont="1" applyFill="1" applyBorder="1" applyAlignment="1" applyProtection="1">
      <alignment horizontal="left" vertical="center"/>
      <protection hidden="1"/>
    </xf>
    <xf numFmtId="0" fontId="0" fillId="28" borderId="0" xfId="0" applyFill="1" applyAlignment="1" applyProtection="1">
      <alignment horizontal="right" vertical="center"/>
      <protection hidden="1"/>
    </xf>
    <xf numFmtId="0" fontId="0" fillId="28" borderId="35" xfId="0" applyFill="1" applyBorder="1" applyAlignment="1" applyProtection="1">
      <alignment horizontal="right" vertical="center"/>
      <protection hidden="1"/>
    </xf>
    <xf numFmtId="0" fontId="20" fillId="8" borderId="0" xfId="0" applyFont="1" applyFill="1" applyAlignment="1" applyProtection="1">
      <alignment horizontal="left" vertical="center"/>
      <protection hidden="1"/>
    </xf>
    <xf numFmtId="0" fontId="3" fillId="28" borderId="17" xfId="0" quotePrefix="1" applyFont="1" applyFill="1" applyBorder="1" applyAlignment="1" applyProtection="1">
      <alignment horizontal="center" vertical="center"/>
      <protection locked="0" hidden="1"/>
    </xf>
    <xf numFmtId="0" fontId="3" fillId="28" borderId="19" xfId="0" quotePrefix="1" applyFont="1" applyFill="1" applyBorder="1" applyAlignment="1" applyProtection="1">
      <alignment horizontal="center" vertical="center"/>
      <protection locked="0" hidden="1"/>
    </xf>
    <xf numFmtId="0" fontId="3" fillId="21" borderId="16" xfId="0" quotePrefix="1" applyFont="1" applyFill="1" applyBorder="1" applyAlignment="1" applyProtection="1">
      <alignment horizontal="center" vertical="center" wrapText="1"/>
      <protection hidden="1"/>
    </xf>
    <xf numFmtId="0" fontId="3" fillId="18" borderId="16" xfId="0" quotePrefix="1" applyFont="1" applyFill="1" applyBorder="1" applyAlignment="1" applyProtection="1">
      <alignment horizontal="center" vertical="center" wrapText="1"/>
      <protection hidden="1"/>
    </xf>
    <xf numFmtId="0" fontId="0" fillId="20" borderId="17" xfId="0" applyFill="1" applyBorder="1" applyAlignment="1" applyProtection="1">
      <alignment horizontal="left" vertical="center" wrapText="1"/>
      <protection locked="0" hidden="1"/>
    </xf>
    <xf numFmtId="0" fontId="0" fillId="20" borderId="19" xfId="0" applyFill="1" applyBorder="1" applyAlignment="1" applyProtection="1">
      <alignment horizontal="left" vertical="center" wrapText="1"/>
      <protection locked="0" hidden="1"/>
    </xf>
    <xf numFmtId="0" fontId="0" fillId="20" borderId="18" xfId="0" applyFill="1" applyBorder="1" applyAlignment="1" applyProtection="1">
      <alignment horizontal="left" vertical="center" wrapText="1"/>
      <protection locked="0" hidden="1"/>
    </xf>
    <xf numFmtId="0" fontId="3" fillId="28" borderId="17" xfId="0" quotePrefix="1" applyFont="1" applyFill="1" applyBorder="1" applyAlignment="1" applyProtection="1">
      <alignment horizontal="center" vertical="center" wrapText="1"/>
      <protection locked="0" hidden="1"/>
    </xf>
    <xf numFmtId="0" fontId="3" fillId="28" borderId="18" xfId="0" quotePrefix="1" applyFont="1" applyFill="1" applyBorder="1" applyAlignment="1" applyProtection="1">
      <alignment horizontal="center" vertical="center" wrapText="1"/>
      <protection locked="0" hidden="1"/>
    </xf>
    <xf numFmtId="0" fontId="1" fillId="28" borderId="17" xfId="0" applyFont="1" applyFill="1" applyBorder="1" applyAlignment="1" applyProtection="1">
      <alignment horizontal="center" vertical="center" wrapText="1"/>
      <protection hidden="1"/>
    </xf>
    <xf numFmtId="0" fontId="1" fillId="28" borderId="18" xfId="0" applyFont="1" applyFill="1" applyBorder="1" applyAlignment="1" applyProtection="1">
      <alignment horizontal="center" vertical="center" wrapText="1"/>
      <protection hidden="1"/>
    </xf>
    <xf numFmtId="0" fontId="0" fillId="28" borderId="17" xfId="0" applyFill="1" applyBorder="1" applyAlignment="1" applyProtection="1">
      <alignment horizontal="center" vertical="center" wrapText="1"/>
      <protection locked="0" hidden="1"/>
    </xf>
    <xf numFmtId="0" fontId="0" fillId="28" borderId="18" xfId="0" applyFill="1" applyBorder="1" applyAlignment="1" applyProtection="1">
      <alignment horizontal="center" vertical="center" wrapText="1"/>
      <protection locked="0" hidden="1"/>
    </xf>
    <xf numFmtId="0" fontId="19" fillId="8" borderId="23" xfId="0" applyFont="1" applyFill="1" applyBorder="1" applyAlignment="1" applyProtection="1">
      <alignment horizontal="center" vertical="center"/>
      <protection hidden="1"/>
    </xf>
    <xf numFmtId="0" fontId="0" fillId="33" borderId="17" xfId="0" applyFill="1" applyBorder="1" applyAlignment="1" applyProtection="1">
      <alignment horizontal="center" vertical="center" wrapText="1"/>
      <protection locked="0" hidden="1"/>
    </xf>
    <xf numFmtId="0" fontId="0" fillId="33" borderId="18" xfId="0" applyFill="1" applyBorder="1" applyAlignment="1" applyProtection="1">
      <alignment horizontal="center" vertical="center" wrapText="1"/>
      <protection locked="0" hidden="1"/>
    </xf>
    <xf numFmtId="0" fontId="0" fillId="10" borderId="17" xfId="0" applyFill="1" applyBorder="1" applyAlignment="1" applyProtection="1">
      <alignment horizontal="center"/>
    </xf>
    <xf numFmtId="0" fontId="0" fillId="10" borderId="18" xfId="0" applyFill="1" applyBorder="1" applyAlignment="1" applyProtection="1">
      <alignment horizontal="center"/>
    </xf>
    <xf numFmtId="0" fontId="0" fillId="16" borderId="17" xfId="0" applyFill="1" applyBorder="1" applyAlignment="1" applyProtection="1">
      <alignment horizontal="center"/>
    </xf>
    <xf numFmtId="0" fontId="0" fillId="16" borderId="19" xfId="0" applyFill="1" applyBorder="1" applyAlignment="1" applyProtection="1">
      <alignment horizontal="center"/>
    </xf>
    <xf numFmtId="0" fontId="0" fillId="16" borderId="18" xfId="0" applyFill="1" applyBorder="1" applyAlignment="1" applyProtection="1">
      <alignment horizontal="center"/>
    </xf>
    <xf numFmtId="165" fontId="0" fillId="10" borderId="42" xfId="0" applyNumberFormat="1" applyFont="1" applyFill="1" applyBorder="1" applyAlignment="1" applyProtection="1">
      <alignment horizontal="right" vertical="center"/>
    </xf>
    <xf numFmtId="165" fontId="0" fillId="10" borderId="18" xfId="0" applyNumberFormat="1" applyFont="1" applyFill="1" applyBorder="1" applyAlignment="1" applyProtection="1">
      <alignment horizontal="right" vertical="center"/>
    </xf>
    <xf numFmtId="0" fontId="0" fillId="10" borderId="16" xfId="0" applyFill="1" applyBorder="1" applyAlignment="1" applyProtection="1">
      <alignment horizontal="center"/>
    </xf>
    <xf numFmtId="0" fontId="0" fillId="10" borderId="1" xfId="0" applyFont="1" applyFill="1" applyBorder="1" applyAlignment="1" applyProtection="1">
      <alignment horizontal="center"/>
    </xf>
    <xf numFmtId="0" fontId="0" fillId="10" borderId="8" xfId="0" applyFont="1" applyFill="1" applyBorder="1" applyAlignment="1" applyProtection="1">
      <alignment horizontal="center"/>
    </xf>
    <xf numFmtId="0" fontId="0" fillId="10" borderId="1" xfId="0" applyFill="1" applyBorder="1" applyAlignment="1" applyProtection="1">
      <alignment horizontal="center"/>
    </xf>
    <xf numFmtId="0" fontId="0" fillId="10" borderId="8" xfId="0" applyFill="1" applyBorder="1" applyAlignment="1" applyProtection="1">
      <alignment horizontal="center"/>
    </xf>
    <xf numFmtId="0" fontId="0" fillId="10" borderId="24" xfId="0" applyFill="1" applyBorder="1" applyAlignment="1" applyProtection="1">
      <alignment horizontal="left"/>
    </xf>
    <xf numFmtId="0" fontId="0" fillId="10" borderId="16" xfId="0" applyFill="1" applyBorder="1" applyAlignment="1" applyProtection="1">
      <alignment horizontal="left"/>
    </xf>
    <xf numFmtId="0" fontId="0" fillId="10" borderId="44" xfId="0" applyFill="1" applyBorder="1" applyAlignment="1" applyProtection="1">
      <alignment horizontal="center" vertical="center" wrapText="1"/>
    </xf>
    <xf numFmtId="0" fontId="0" fillId="10" borderId="23" xfId="0" applyFill="1" applyBorder="1" applyAlignment="1" applyProtection="1">
      <alignment horizontal="center" vertical="center" wrapText="1"/>
    </xf>
    <xf numFmtId="0" fontId="0" fillId="10" borderId="5" xfId="0" applyFill="1" applyBorder="1" applyAlignment="1" applyProtection="1">
      <alignment horizontal="center" vertical="center" wrapText="1"/>
    </xf>
    <xf numFmtId="0" fontId="0" fillId="10" borderId="0" xfId="0" applyFill="1" applyBorder="1" applyAlignment="1" applyProtection="1">
      <alignment horizontal="center" vertical="center" wrapText="1"/>
    </xf>
    <xf numFmtId="0" fontId="0" fillId="10" borderId="36" xfId="0" applyFill="1" applyBorder="1" applyAlignment="1" applyProtection="1">
      <alignment horizontal="center" vertical="center" wrapText="1"/>
    </xf>
    <xf numFmtId="0" fontId="0" fillId="10" borderId="37" xfId="0" applyFill="1" applyBorder="1" applyAlignment="1" applyProtection="1">
      <alignment horizontal="center" vertical="center" wrapText="1"/>
    </xf>
    <xf numFmtId="165" fontId="0" fillId="10" borderId="19" xfId="0" applyNumberFormat="1" applyFont="1" applyFill="1" applyBorder="1" applyAlignment="1" applyProtection="1">
      <alignment horizontal="right" vertical="center"/>
    </xf>
    <xf numFmtId="0" fontId="0" fillId="10" borderId="9" xfId="0" applyFill="1" applyBorder="1" applyAlignment="1" applyProtection="1">
      <alignment horizontal="center" vertical="center" wrapText="1"/>
    </xf>
    <xf numFmtId="0" fontId="0" fillId="10" borderId="10" xfId="0" applyFill="1" applyBorder="1" applyAlignment="1" applyProtection="1">
      <alignment horizontal="center" vertical="center" wrapText="1"/>
    </xf>
    <xf numFmtId="0" fontId="0" fillId="10" borderId="45" xfId="0" applyFill="1" applyBorder="1" applyAlignment="1" applyProtection="1">
      <alignment horizontal="center" vertical="center" wrapText="1"/>
    </xf>
    <xf numFmtId="0" fontId="0" fillId="10" borderId="0" xfId="0" applyFill="1" applyAlignment="1" applyProtection="1">
      <alignment horizontal="center"/>
    </xf>
    <xf numFmtId="0" fontId="0" fillId="10" borderId="16" xfId="0" applyFill="1" applyBorder="1" applyAlignment="1" applyProtection="1">
      <alignment horizontal="left" vertical="top"/>
    </xf>
    <xf numFmtId="0" fontId="0" fillId="18" borderId="16" xfId="0" applyFill="1" applyBorder="1" applyAlignment="1" applyProtection="1">
      <alignment horizontal="center"/>
    </xf>
    <xf numFmtId="0" fontId="0" fillId="18" borderId="17" xfId="0" applyFill="1" applyBorder="1" applyAlignment="1" applyProtection="1">
      <alignment horizontal="center" vertical="top"/>
    </xf>
    <xf numFmtId="0" fontId="0" fillId="18" borderId="18" xfId="0" applyFill="1" applyBorder="1" applyAlignment="1" applyProtection="1">
      <alignment horizontal="center" vertical="top"/>
    </xf>
    <xf numFmtId="0" fontId="1" fillId="0" borderId="0" xfId="0" applyFont="1" applyAlignment="1" applyProtection="1">
      <alignment horizontal="center"/>
    </xf>
    <xf numFmtId="0" fontId="3" fillId="0" borderId="0" xfId="0" applyFont="1" applyAlignment="1" applyProtection="1">
      <alignment horizontal="left" vertical="top" wrapText="1"/>
    </xf>
    <xf numFmtId="0" fontId="1" fillId="14" borderId="0" xfId="0" applyFont="1" applyFill="1" applyAlignment="1" applyProtection="1">
      <alignment horizontal="center" vertical="center" textRotation="90"/>
    </xf>
    <xf numFmtId="0" fontId="0" fillId="21" borderId="16" xfId="0" applyFill="1" applyBorder="1" applyAlignment="1" applyProtection="1">
      <alignment horizontal="center"/>
    </xf>
    <xf numFmtId="0" fontId="0" fillId="21" borderId="17" xfId="0" applyFill="1" applyBorder="1" applyAlignment="1" applyProtection="1">
      <alignment horizontal="left" vertical="top"/>
    </xf>
    <xf numFmtId="0" fontId="0" fillId="21" borderId="18" xfId="0" applyFill="1" applyBorder="1" applyAlignment="1" applyProtection="1">
      <alignment horizontal="left" vertical="top"/>
    </xf>
    <xf numFmtId="0" fontId="0" fillId="21" borderId="16" xfId="0" quotePrefix="1" applyFill="1" applyBorder="1" applyAlignment="1" applyProtection="1">
      <alignment horizontal="center"/>
    </xf>
    <xf numFmtId="0" fontId="0" fillId="21" borderId="17" xfId="0" applyFill="1" applyBorder="1" applyAlignment="1" applyProtection="1">
      <alignment horizontal="center" vertical="top"/>
    </xf>
    <xf numFmtId="0" fontId="0" fillId="21" borderId="18" xfId="0" applyFill="1" applyBorder="1" applyAlignment="1" applyProtection="1">
      <alignment horizontal="center" vertical="top"/>
    </xf>
    <xf numFmtId="0" fontId="0" fillId="10" borderId="26" xfId="0" applyFill="1" applyBorder="1" applyAlignment="1" applyProtection="1">
      <alignment horizontal="left"/>
    </xf>
    <xf numFmtId="0" fontId="0" fillId="10" borderId="27" xfId="0" applyFill="1" applyBorder="1" applyAlignment="1" applyProtection="1">
      <alignment horizontal="left"/>
    </xf>
    <xf numFmtId="0" fontId="0" fillId="32" borderId="42" xfId="0" applyFill="1" applyBorder="1" applyAlignment="1" applyProtection="1">
      <alignment horizontal="left" vertical="center" wrapText="1"/>
    </xf>
    <xf numFmtId="0" fontId="0" fillId="32" borderId="18" xfId="0" applyFill="1" applyBorder="1" applyAlignment="1" applyProtection="1">
      <alignment horizontal="left" vertical="center" wrapText="1"/>
    </xf>
    <xf numFmtId="0" fontId="0" fillId="0" borderId="0" xfId="0" applyFill="1" applyBorder="1" applyAlignment="1" applyProtection="1">
      <alignment horizontal="right"/>
    </xf>
    <xf numFmtId="0" fontId="0" fillId="0" borderId="35" xfId="0" applyFill="1" applyBorder="1" applyAlignment="1" applyProtection="1">
      <alignment horizontal="right"/>
    </xf>
    <xf numFmtId="0" fontId="0" fillId="0" borderId="24" xfId="0" applyBorder="1" applyAlignment="1" applyProtection="1">
      <alignment vertical="center"/>
    </xf>
    <xf numFmtId="0" fontId="0" fillId="0" borderId="25" xfId="0" applyBorder="1" applyAlignment="1" applyProtection="1">
      <alignment vertical="center"/>
    </xf>
    <xf numFmtId="0" fontId="0" fillId="0" borderId="26" xfId="0" applyBorder="1" applyAlignment="1" applyProtection="1">
      <alignment vertical="center"/>
    </xf>
    <xf numFmtId="0" fontId="0" fillId="0" borderId="28" xfId="0" applyBorder="1" applyAlignment="1" applyProtection="1">
      <alignment vertical="center"/>
    </xf>
    <xf numFmtId="0" fontId="0" fillId="16" borderId="16" xfId="0" applyFill="1" applyBorder="1" applyAlignment="1" applyProtection="1">
      <alignment horizontal="center"/>
    </xf>
    <xf numFmtId="1" fontId="0" fillId="16" borderId="16" xfId="0" applyNumberFormat="1" applyFill="1" applyBorder="1" applyAlignment="1" applyProtection="1">
      <alignment horizontal="center" vertical="center"/>
    </xf>
    <xf numFmtId="0" fontId="0" fillId="21" borderId="17" xfId="0" quotePrefix="1" applyFill="1" applyBorder="1" applyAlignment="1" applyProtection="1">
      <alignment horizontal="center" vertical="center"/>
    </xf>
    <xf numFmtId="0" fontId="0" fillId="21" borderId="46" xfId="0" quotePrefix="1" applyFill="1" applyBorder="1" applyAlignment="1" applyProtection="1">
      <alignment horizontal="center" vertical="center"/>
    </xf>
    <xf numFmtId="0" fontId="0" fillId="21" borderId="17" xfId="0" applyFill="1" applyBorder="1" applyAlignment="1" applyProtection="1">
      <alignment horizontal="center" vertical="center"/>
    </xf>
    <xf numFmtId="0" fontId="0" fillId="21" borderId="46" xfId="0" applyFill="1" applyBorder="1" applyAlignment="1" applyProtection="1">
      <alignment horizontal="center" vertical="center"/>
    </xf>
    <xf numFmtId="0" fontId="0" fillId="18" borderId="16" xfId="0" quotePrefix="1" applyFill="1" applyBorder="1" applyAlignment="1" applyProtection="1">
      <alignment horizontal="center"/>
    </xf>
    <xf numFmtId="0" fontId="0" fillId="21" borderId="17" xfId="0" applyFill="1" applyBorder="1" applyAlignment="1" applyProtection="1">
      <alignment horizontal="center"/>
    </xf>
    <xf numFmtId="0" fontId="0" fillId="21" borderId="18" xfId="0" applyFill="1" applyBorder="1" applyAlignment="1" applyProtection="1">
      <alignment horizontal="center"/>
    </xf>
    <xf numFmtId="0" fontId="0" fillId="21" borderId="17" xfId="0" quotePrefix="1" applyFill="1" applyBorder="1" applyAlignment="1" applyProtection="1">
      <alignment horizontal="left" vertical="top" wrapText="1"/>
    </xf>
    <xf numFmtId="0" fontId="0" fillId="21" borderId="18" xfId="0" quotePrefix="1" applyFill="1" applyBorder="1" applyAlignment="1" applyProtection="1">
      <alignment horizontal="left" vertical="top" wrapText="1"/>
    </xf>
    <xf numFmtId="0" fontId="0" fillId="21" borderId="17" xfId="0" applyFill="1" applyBorder="1" applyAlignment="1" applyProtection="1">
      <alignment horizontal="left" vertical="top" wrapText="1"/>
    </xf>
    <xf numFmtId="0" fontId="0" fillId="21" borderId="18" xfId="0" applyFill="1" applyBorder="1" applyAlignment="1" applyProtection="1">
      <alignment horizontal="left" vertical="top" wrapText="1"/>
    </xf>
    <xf numFmtId="0" fontId="0" fillId="21" borderId="17" xfId="0" applyFill="1" applyBorder="1" applyAlignment="1" applyProtection="1">
      <alignment horizontal="left" vertical="center"/>
    </xf>
    <xf numFmtId="0" fontId="0" fillId="21" borderId="18" xfId="0" applyFill="1" applyBorder="1" applyAlignment="1" applyProtection="1">
      <alignment horizontal="left" vertical="center"/>
    </xf>
    <xf numFmtId="0" fontId="0" fillId="21" borderId="17" xfId="0" quotePrefix="1" applyFill="1" applyBorder="1" applyAlignment="1" applyProtection="1">
      <alignment horizontal="left" vertical="center"/>
    </xf>
    <xf numFmtId="0" fontId="0" fillId="21" borderId="18" xfId="0" quotePrefix="1" applyFill="1" applyBorder="1" applyAlignment="1" applyProtection="1">
      <alignment horizontal="left" vertical="center"/>
    </xf>
    <xf numFmtId="0" fontId="0" fillId="21" borderId="19" xfId="0" applyFill="1" applyBorder="1" applyAlignment="1" applyProtection="1">
      <alignment horizontal="center"/>
    </xf>
    <xf numFmtId="0" fontId="0" fillId="8" borderId="17" xfId="0" applyFill="1" applyBorder="1" applyAlignment="1" applyProtection="1">
      <alignment horizontal="center"/>
    </xf>
    <xf numFmtId="0" fontId="0" fillId="8" borderId="18" xfId="0" applyFill="1" applyBorder="1" applyAlignment="1" applyProtection="1">
      <alignment horizontal="center"/>
    </xf>
    <xf numFmtId="0" fontId="0" fillId="8" borderId="17" xfId="0" applyFill="1" applyBorder="1" applyAlignment="1" applyProtection="1">
      <alignment horizontal="left"/>
    </xf>
    <xf numFmtId="0" fontId="0" fillId="8" borderId="18" xfId="0" applyFill="1" applyBorder="1" applyAlignment="1" applyProtection="1">
      <alignment horizontal="left"/>
    </xf>
    <xf numFmtId="0" fontId="0" fillId="21" borderId="30" xfId="0" quotePrefix="1" applyFill="1" applyBorder="1" applyAlignment="1" applyProtection="1">
      <alignment horizontal="center" vertical="center"/>
    </xf>
    <xf numFmtId="0" fontId="0" fillId="21" borderId="67" xfId="0" quotePrefix="1" applyFill="1" applyBorder="1" applyAlignment="1" applyProtection="1">
      <alignment horizontal="center" vertical="center"/>
    </xf>
    <xf numFmtId="0" fontId="0" fillId="21" borderId="52" xfId="0" quotePrefix="1" applyFill="1" applyBorder="1" applyAlignment="1" applyProtection="1">
      <alignment horizontal="center" vertical="center"/>
    </xf>
    <xf numFmtId="0" fontId="0" fillId="21" borderId="66" xfId="0" quotePrefix="1" applyFill="1" applyBorder="1" applyAlignment="1" applyProtection="1">
      <alignment horizontal="center" vertical="center"/>
    </xf>
    <xf numFmtId="0" fontId="0" fillId="21" borderId="16" xfId="0" applyFill="1" applyBorder="1" applyAlignment="1" applyProtection="1">
      <alignment horizontal="center" vertical="center"/>
    </xf>
    <xf numFmtId="0" fontId="3" fillId="12" borderId="0" xfId="0" applyFont="1" applyFill="1" applyBorder="1" applyAlignment="1" applyProtection="1">
      <alignment horizontal="left" vertical="center"/>
    </xf>
    <xf numFmtId="0" fontId="3" fillId="12" borderId="10" xfId="0" applyFont="1" applyFill="1" applyBorder="1" applyAlignment="1" applyProtection="1">
      <alignment horizontal="left" vertical="center"/>
    </xf>
    <xf numFmtId="0" fontId="0" fillId="21" borderId="19" xfId="0" applyFill="1" applyBorder="1" applyAlignment="1" applyProtection="1">
      <alignment horizontal="left" vertical="center"/>
    </xf>
    <xf numFmtId="0" fontId="0" fillId="21" borderId="42" xfId="0" applyFill="1" applyBorder="1" applyAlignment="1" applyProtection="1">
      <alignment horizontal="center" vertical="center"/>
    </xf>
    <xf numFmtId="0" fontId="0" fillId="21" borderId="40" xfId="0" applyFill="1" applyBorder="1" applyAlignment="1" applyProtection="1">
      <alignment horizontal="center" vertical="center"/>
    </xf>
    <xf numFmtId="0" fontId="0" fillId="21" borderId="47" xfId="0" applyFill="1" applyBorder="1" applyAlignment="1" applyProtection="1">
      <alignment horizontal="center" vertical="center"/>
    </xf>
    <xf numFmtId="0" fontId="1" fillId="0" borderId="48" xfId="0" applyFont="1" applyFill="1" applyBorder="1" applyAlignment="1" applyProtection="1">
      <alignment horizontal="center" vertical="center"/>
    </xf>
    <xf numFmtId="0" fontId="1" fillId="0" borderId="50" xfId="0" applyFont="1" applyFill="1" applyBorder="1" applyAlignment="1" applyProtection="1">
      <alignment horizontal="center" vertical="center"/>
    </xf>
    <xf numFmtId="0" fontId="4" fillId="26" borderId="52" xfId="0" applyFont="1" applyFill="1" applyBorder="1" applyAlignment="1" applyProtection="1">
      <alignment horizontal="center" vertical="center" wrapText="1"/>
      <protection locked="0"/>
    </xf>
    <xf numFmtId="0" fontId="4" fillId="26" borderId="66" xfId="0" applyFont="1" applyFill="1" applyBorder="1" applyAlignment="1" applyProtection="1">
      <alignment horizontal="center" vertical="center" wrapText="1"/>
      <protection locked="0"/>
    </xf>
    <xf numFmtId="0" fontId="4" fillId="15" borderId="5" xfId="0" applyFont="1" applyFill="1" applyBorder="1" applyAlignment="1" applyProtection="1">
      <alignment horizontal="right" vertical="center"/>
    </xf>
    <xf numFmtId="0" fontId="4" fillId="15" borderId="0" xfId="0" applyFont="1" applyFill="1" applyBorder="1" applyAlignment="1" applyProtection="1">
      <alignment horizontal="right" vertical="center"/>
    </xf>
    <xf numFmtId="0" fontId="4" fillId="8" borderId="5" xfId="0" applyFont="1" applyFill="1" applyBorder="1" applyAlignment="1">
      <alignment horizontal="left" vertical="top" wrapText="1"/>
    </xf>
    <xf numFmtId="0" fontId="4" fillId="8" borderId="0" xfId="0" applyFont="1" applyFill="1" applyBorder="1" applyAlignment="1">
      <alignment horizontal="left" vertical="top" wrapText="1"/>
    </xf>
    <xf numFmtId="0" fontId="4" fillId="8" borderId="10" xfId="0" applyFont="1" applyFill="1" applyBorder="1" applyAlignment="1">
      <alignment horizontal="left" vertical="top" wrapText="1"/>
    </xf>
    <xf numFmtId="0" fontId="0" fillId="0" borderId="0" xfId="0" applyAlignment="1">
      <alignment horizontal="center" vertical="center"/>
    </xf>
  </cellXfs>
  <cellStyles count="2">
    <cellStyle name="Link" xfId="1" builtinId="8"/>
    <cellStyle name="Standard" xfId="0" builtinId="0"/>
  </cellStyles>
  <dxfs count="175">
    <dxf>
      <fill>
        <patternFill>
          <bgColor rgb="FF92D050"/>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8" tint="0.79998168889431442"/>
      </font>
    </dxf>
    <dxf>
      <font>
        <color theme="4"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3" tint="0.79998168889431442"/>
      </font>
    </dxf>
    <dxf>
      <font>
        <color theme="3" tint="0.79998168889431442"/>
      </font>
    </dxf>
    <dxf>
      <font>
        <color theme="3" tint="0.79998168889431442"/>
      </font>
    </dxf>
    <dxf>
      <font>
        <color theme="3" tint="0.79998168889431442"/>
      </font>
    </dxf>
    <dxf>
      <font>
        <color theme="5" tint="0.59996337778862885"/>
      </font>
    </dxf>
    <dxf>
      <font>
        <color theme="5" tint="0.59996337778862885"/>
      </font>
    </dxf>
    <dxf>
      <font>
        <color theme="3" tint="0.79998168889431442"/>
      </font>
    </dxf>
    <dxf>
      <font>
        <b/>
        <i val="0"/>
        <color rgb="FFFF0000"/>
      </font>
    </dxf>
    <dxf>
      <font>
        <color theme="0" tint="-0.14996795556505021"/>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font>
        <b/>
        <i val="0"/>
        <color rgb="FFFF0000"/>
      </font>
    </dxf>
    <dxf>
      <font>
        <b/>
        <i val="0"/>
        <color auto="1"/>
      </font>
    </dxf>
    <dxf>
      <font>
        <b/>
        <i val="0"/>
        <color rgb="FFFF0000"/>
      </font>
    </dxf>
    <dxf>
      <font>
        <color theme="5" tint="0.79998168889431442"/>
      </font>
    </dxf>
    <dxf>
      <font>
        <color theme="5" tint="0.79998168889431442"/>
      </font>
    </dxf>
    <dxf>
      <font>
        <color theme="5" tint="0.79998168889431442"/>
      </font>
    </dxf>
    <dxf>
      <font>
        <b/>
        <i val="0"/>
        <color auto="1"/>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b/>
        <i/>
      </font>
    </dxf>
    <dxf>
      <font>
        <b/>
        <i/>
      </font>
    </dxf>
    <dxf>
      <numFmt numFmtId="2" formatCode="0.00"/>
    </dxf>
    <dxf>
      <numFmt numFmtId="165" formatCode="0.000"/>
    </dxf>
    <dxf>
      <font>
        <color theme="8" tint="0.79998168889431442"/>
      </font>
    </dxf>
    <dxf>
      <font>
        <color theme="8" tint="0.79998168889431442"/>
      </font>
      <fill>
        <patternFill>
          <bgColor theme="8" tint="0.79998168889431442"/>
        </patternFill>
      </fill>
    </dxf>
    <dxf>
      <font>
        <color theme="8" tint="0.79998168889431442"/>
      </font>
      <fill>
        <patternFill>
          <bgColor theme="8" tint="0.79998168889431442"/>
        </patternFill>
      </fill>
    </dxf>
    <dxf>
      <font>
        <color theme="3" tint="0.79998168889431442"/>
      </font>
    </dxf>
    <dxf>
      <font>
        <color theme="3" tint="0.79998168889431442"/>
      </font>
    </dxf>
    <dxf>
      <font>
        <color theme="3" tint="0.79998168889431442"/>
      </font>
    </dxf>
    <dxf>
      <font>
        <color theme="3" tint="0.79998168889431442"/>
      </font>
    </dxf>
    <dxf>
      <numFmt numFmtId="164" formatCode="0.0"/>
    </dxf>
    <dxf>
      <numFmt numFmtId="2" formatCode="0.00"/>
    </dxf>
    <dxf>
      <numFmt numFmtId="165" formatCode="0.000"/>
    </dxf>
    <dxf>
      <numFmt numFmtId="166" formatCode="0.0000"/>
    </dxf>
    <dxf>
      <font>
        <color theme="4" tint="0.59996337778862885"/>
      </font>
    </dxf>
    <dxf>
      <fill>
        <patternFill>
          <bgColor rgb="FF92D050"/>
        </patternFill>
      </fill>
    </dxf>
    <dxf>
      <fill>
        <patternFill>
          <bgColor theme="5" tint="0.59996337778862885"/>
        </patternFill>
      </fill>
    </dxf>
    <dxf>
      <fill>
        <patternFill>
          <bgColor rgb="FFFF0000"/>
        </patternFill>
      </fill>
    </dxf>
    <dxf>
      <font>
        <color theme="8" tint="0.79998168889431442"/>
      </font>
    </dxf>
    <dxf>
      <fill>
        <patternFill>
          <bgColor rgb="FF92D050"/>
        </patternFill>
      </fill>
    </dxf>
    <dxf>
      <fill>
        <patternFill>
          <bgColor theme="5" tint="0.59996337778862885"/>
        </patternFill>
      </fill>
    </dxf>
    <dxf>
      <fill>
        <patternFill>
          <bgColor rgb="FFFF0000"/>
        </patternFill>
      </fill>
    </dxf>
    <dxf>
      <font>
        <color theme="8" tint="0.79998168889431442"/>
      </font>
    </dxf>
    <dxf>
      <fill>
        <patternFill>
          <bgColor rgb="FF92D050"/>
        </patternFill>
      </fill>
    </dxf>
    <dxf>
      <fill>
        <patternFill>
          <bgColor theme="5" tint="0.59996337778862885"/>
        </patternFill>
      </fill>
    </dxf>
    <dxf>
      <fill>
        <patternFill>
          <bgColor rgb="FFFF0000"/>
        </patternFill>
      </fill>
    </dxf>
    <dxf>
      <font>
        <color theme="8" tint="0.79998168889431442"/>
      </font>
    </dxf>
    <dxf>
      <fill>
        <patternFill>
          <bgColor rgb="FF92D050"/>
        </patternFill>
      </fill>
    </dxf>
    <dxf>
      <fill>
        <patternFill>
          <bgColor theme="5" tint="0.59996337778862885"/>
        </patternFill>
      </fill>
    </dxf>
    <dxf>
      <fill>
        <patternFill>
          <bgColor rgb="FFFF0000"/>
        </patternFill>
      </fill>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numFmt numFmtId="2" formatCode="0.00"/>
    </dxf>
    <dxf>
      <numFmt numFmtId="165" formatCode="0.000"/>
    </dxf>
    <dxf>
      <font>
        <color theme="8" tint="0.79998168889431442"/>
      </font>
    </dxf>
    <dxf>
      <font>
        <b/>
        <i val="0"/>
        <color rgb="FFFF0000"/>
      </font>
    </dxf>
    <dxf>
      <font>
        <b/>
        <i val="0"/>
        <color rgb="FFFF0000"/>
      </font>
    </dxf>
    <dxf>
      <font>
        <b/>
        <i val="0"/>
        <color rgb="FFFF0000"/>
      </font>
    </dxf>
    <dxf>
      <fill>
        <patternFill>
          <bgColor rgb="FF92D050"/>
        </patternFill>
      </fill>
    </dxf>
    <dxf>
      <fill>
        <patternFill>
          <bgColor rgb="FFFF0000"/>
        </patternFill>
      </fill>
    </dxf>
    <dxf>
      <font>
        <color theme="8" tint="0.79998168889431442"/>
      </font>
    </dxf>
    <dxf>
      <fill>
        <patternFill>
          <bgColor rgb="FF92D050"/>
        </patternFill>
      </fill>
    </dxf>
    <dxf>
      <fill>
        <patternFill>
          <bgColor theme="5" tint="0.59996337778862885"/>
        </patternFill>
      </fill>
    </dxf>
    <dxf>
      <fill>
        <patternFill>
          <bgColor rgb="FFFF0000"/>
        </patternFill>
      </fill>
    </dxf>
    <dxf>
      <font>
        <color theme="8" tint="0.79998168889431442"/>
      </font>
    </dxf>
    <dxf>
      <font>
        <b/>
        <i val="0"/>
        <color rgb="FFFF0000"/>
      </font>
    </dxf>
    <dxf>
      <font>
        <b/>
        <i val="0"/>
        <color rgb="FFFF0000"/>
      </font>
    </dxf>
    <dxf>
      <font>
        <b/>
        <i val="0"/>
        <color rgb="FFFF0000"/>
      </font>
    </dxf>
    <dxf>
      <font>
        <color theme="0" tint="-0.14996795556505021"/>
      </font>
    </dxf>
    <dxf>
      <font>
        <b/>
        <i val="0"/>
        <color rgb="FFFF0000"/>
      </font>
    </dxf>
    <dxf>
      <font>
        <b/>
        <i val="0"/>
        <color theme="0" tint="-0.14996795556505021"/>
      </font>
    </dxf>
    <dxf>
      <font>
        <color theme="3" tint="0.79998168889431442"/>
      </font>
    </dxf>
    <dxf>
      <font>
        <color theme="3" tint="0.79998168889431442"/>
      </font>
    </dxf>
    <dxf>
      <font>
        <b/>
        <i val="0"/>
        <color rgb="FFFF0000"/>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Gewaesserbelastung!$I$46</c:f>
          <c:strCache>
            <c:ptCount val="1"/>
            <c:pt idx="0">
              <c:v>Abweichung von der zulässigen Belastung
unterhalb Grün: voraussichtlich tragbar
über Rot: nicht tragbar
Balkenüberschrift: Überschreitungsfaktor</c:v>
            </c:pt>
          </c:strCache>
        </c:strRef>
      </c:tx>
      <c:layout>
        <c:manualLayout>
          <c:xMode val="edge"/>
          <c:yMode val="edge"/>
          <c:x val="0.15174701846479716"/>
          <c:y val="2.6810651358089674E-2"/>
        </c:manualLayout>
      </c:layout>
      <c:overlay val="0"/>
      <c:txPr>
        <a:bodyPr/>
        <a:lstStyle/>
        <a:p>
          <a:pPr>
            <a:defRPr sz="1000">
              <a:latin typeface="Arial" panose="020B0604020202020204" pitchFamily="34" charset="0"/>
              <a:cs typeface="Arial" panose="020B0604020202020204" pitchFamily="34" charset="0"/>
            </a:defRPr>
          </a:pPr>
          <a:endParaRPr lang="de-DE"/>
        </a:p>
      </c:txPr>
    </c:title>
    <c:autoTitleDeleted val="0"/>
    <c:plotArea>
      <c:layout>
        <c:manualLayout>
          <c:layoutTarget val="inner"/>
          <c:xMode val="edge"/>
          <c:yMode val="edge"/>
          <c:x val="3.7320815814782658E-2"/>
          <c:y val="0.26155626780626778"/>
          <c:w val="0.93581327498176514"/>
          <c:h val="0.58707861390370497"/>
        </c:manualLayout>
      </c:layout>
      <c:barChart>
        <c:barDir val="col"/>
        <c:grouping val="clustered"/>
        <c:varyColors val="0"/>
        <c:ser>
          <c:idx val="0"/>
          <c:order val="0"/>
          <c:tx>
            <c:strRef>
              <c:f>Gewaesserbelastung!$A$47:$A$54</c:f>
              <c:strCache>
                <c:ptCount val="8"/>
                <c:pt idx="1">
                  <c:v>DOC</c:v>
                </c:pt>
                <c:pt idx="2">
                  <c:v>NH4-N</c:v>
                </c:pt>
                <c:pt idx="3">
                  <c:v>NO3-N</c:v>
                </c:pt>
                <c:pt idx="4">
                  <c:v>P gelöst</c:v>
                </c:pt>
                <c:pt idx="5">
                  <c:v>P tot.</c:v>
                </c:pt>
                <c:pt idx="7">
                  <c:v>GUS</c:v>
                </c:pt>
              </c:strCache>
            </c:strRef>
          </c:tx>
          <c:spPr>
            <a:solidFill>
              <a:schemeClr val="bg2">
                <a:lumMod val="75000"/>
              </a:schemeClr>
            </a:solidFill>
            <a:ln>
              <a:solidFill>
                <a:schemeClr val="tx1"/>
              </a:solidFill>
            </a:ln>
          </c:spPr>
          <c:invertIfNegative val="0"/>
          <c:dPt>
            <c:idx val="6"/>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1-27B5-4529-92CD-EA59C883427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Gewaesserbelastung!$A$47:$A$55</c:f>
              <c:strCache>
                <c:ptCount val="8"/>
                <c:pt idx="1">
                  <c:v>DOC</c:v>
                </c:pt>
                <c:pt idx="2">
                  <c:v>NH4-N</c:v>
                </c:pt>
                <c:pt idx="3">
                  <c:v>NO3-N</c:v>
                </c:pt>
                <c:pt idx="4">
                  <c:v>P gelöst</c:v>
                </c:pt>
                <c:pt idx="5">
                  <c:v>P tot.</c:v>
                </c:pt>
                <c:pt idx="7">
                  <c:v>GUS</c:v>
                </c:pt>
              </c:strCache>
            </c:strRef>
          </c:cat>
          <c:val>
            <c:numRef>
              <c:f>Gewaesserbelastung!$G$47:$G$55</c:f>
              <c:numCache>
                <c:formatCode>0.0</c:formatCode>
                <c:ptCount val="9"/>
                <c:pt idx="1">
                  <c:v>0</c:v>
                </c:pt>
                <c:pt idx="2">
                  <c:v>0</c:v>
                </c:pt>
                <c:pt idx="3">
                  <c:v>0</c:v>
                </c:pt>
                <c:pt idx="4">
                  <c:v>0</c:v>
                </c:pt>
                <c:pt idx="5">
                  <c:v>0</c:v>
                </c:pt>
                <c:pt idx="7">
                  <c:v>0</c:v>
                </c:pt>
              </c:numCache>
            </c:numRef>
          </c:val>
          <c:extLst>
            <c:ext xmlns:c16="http://schemas.microsoft.com/office/drawing/2014/chart" uri="{C3380CC4-5D6E-409C-BE32-E72D297353CC}">
              <c16:uniqueId val="{00000002-27B5-4529-92CD-EA59C8834275}"/>
            </c:ext>
          </c:extLst>
        </c:ser>
        <c:dLbls>
          <c:showLegendKey val="0"/>
          <c:showVal val="0"/>
          <c:showCatName val="0"/>
          <c:showSerName val="0"/>
          <c:showPercent val="0"/>
          <c:showBubbleSize val="0"/>
        </c:dLbls>
        <c:gapWidth val="150"/>
        <c:axId val="248403072"/>
        <c:axId val="248404608"/>
      </c:barChart>
      <c:lineChart>
        <c:grouping val="standard"/>
        <c:varyColors val="0"/>
        <c:ser>
          <c:idx val="1"/>
          <c:order val="1"/>
          <c:tx>
            <c:strRef>
              <c:f>Gewaesserbelastung!$G$28</c:f>
              <c:strCache>
                <c:ptCount val="1"/>
                <c:pt idx="0">
                  <c:v>voraussichtlich tragbar</c:v>
                </c:pt>
              </c:strCache>
            </c:strRef>
          </c:tx>
          <c:spPr>
            <a:ln>
              <a:solidFill>
                <a:srgbClr val="00B050"/>
              </a:solidFill>
            </a:ln>
          </c:spPr>
          <c:marker>
            <c:symbol val="none"/>
          </c:marker>
          <c:val>
            <c:numRef>
              <c:f>Gewaesserbelastung!$E$47:$E$55</c:f>
              <c:numCache>
                <c:formatCode>General</c:formatCode>
                <c:ptCount val="9"/>
                <c:pt idx="0">
                  <c:v>1</c:v>
                </c:pt>
                <c:pt idx="1">
                  <c:v>1</c:v>
                </c:pt>
                <c:pt idx="2">
                  <c:v>1</c:v>
                </c:pt>
                <c:pt idx="3">
                  <c:v>1</c:v>
                </c:pt>
                <c:pt idx="4">
                  <c:v>1</c:v>
                </c:pt>
                <c:pt idx="5">
                  <c:v>1</c:v>
                </c:pt>
                <c:pt idx="6">
                  <c:v>1</c:v>
                </c:pt>
              </c:numCache>
            </c:numRef>
          </c:val>
          <c:smooth val="0"/>
          <c:extLst>
            <c:ext xmlns:c16="http://schemas.microsoft.com/office/drawing/2014/chart" uri="{C3380CC4-5D6E-409C-BE32-E72D297353CC}">
              <c16:uniqueId val="{00000003-27B5-4529-92CD-EA59C8834275}"/>
            </c:ext>
          </c:extLst>
        </c:ser>
        <c:ser>
          <c:idx val="2"/>
          <c:order val="2"/>
          <c:tx>
            <c:strRef>
              <c:f>Gewaesserbelastung!$G$29</c:f>
              <c:strCache>
                <c:ptCount val="1"/>
                <c:pt idx="0">
                  <c:v>kritisch</c:v>
                </c:pt>
              </c:strCache>
            </c:strRef>
          </c:tx>
          <c:spPr>
            <a:ln>
              <a:solidFill>
                <a:srgbClr val="FF0000"/>
              </a:solidFill>
            </a:ln>
          </c:spPr>
          <c:marker>
            <c:symbol val="none"/>
          </c:marker>
          <c:val>
            <c:numRef>
              <c:f>Gewaesserbelastung!$F$47:$F$55</c:f>
              <c:numCache>
                <c:formatCode>General</c:formatCode>
                <c:ptCount val="9"/>
                <c:pt idx="0">
                  <c:v>2</c:v>
                </c:pt>
                <c:pt idx="1">
                  <c:v>2</c:v>
                </c:pt>
                <c:pt idx="2">
                  <c:v>2</c:v>
                </c:pt>
                <c:pt idx="3">
                  <c:v>2</c:v>
                </c:pt>
                <c:pt idx="4">
                  <c:v>2</c:v>
                </c:pt>
                <c:pt idx="5">
                  <c:v>2</c:v>
                </c:pt>
              </c:numCache>
            </c:numRef>
          </c:val>
          <c:smooth val="0"/>
          <c:extLst>
            <c:ext xmlns:c16="http://schemas.microsoft.com/office/drawing/2014/chart" uri="{C3380CC4-5D6E-409C-BE32-E72D297353CC}">
              <c16:uniqueId val="{00000004-27B5-4529-92CD-EA59C8834275}"/>
            </c:ext>
          </c:extLst>
        </c:ser>
        <c:ser>
          <c:idx val="3"/>
          <c:order val="3"/>
          <c:tx>
            <c:strRef>
              <c:f>Gewaesserbelastung!$G$28</c:f>
              <c:strCache>
                <c:ptCount val="1"/>
                <c:pt idx="0">
                  <c:v>voraussichtlich tragbar</c:v>
                </c:pt>
              </c:strCache>
            </c:strRef>
          </c:tx>
          <c:spPr>
            <a:ln>
              <a:solidFill>
                <a:srgbClr val="FF0000"/>
              </a:solidFill>
            </a:ln>
          </c:spPr>
          <c:marker>
            <c:symbol val="none"/>
          </c:marker>
          <c:val>
            <c:numRef>
              <c:f>Gewaesserbelastung!$H$47:$H$55</c:f>
              <c:numCache>
                <c:formatCode>General</c:formatCode>
                <c:ptCount val="9"/>
                <c:pt idx="6">
                  <c:v>1</c:v>
                </c:pt>
                <c:pt idx="7">
                  <c:v>1</c:v>
                </c:pt>
                <c:pt idx="8">
                  <c:v>1</c:v>
                </c:pt>
              </c:numCache>
            </c:numRef>
          </c:val>
          <c:smooth val="0"/>
          <c:extLst>
            <c:ext xmlns:c16="http://schemas.microsoft.com/office/drawing/2014/chart" uri="{C3380CC4-5D6E-409C-BE32-E72D297353CC}">
              <c16:uniqueId val="{00000005-27B5-4529-92CD-EA59C8834275}"/>
            </c:ext>
          </c:extLst>
        </c:ser>
        <c:dLbls>
          <c:showLegendKey val="0"/>
          <c:showVal val="0"/>
          <c:showCatName val="0"/>
          <c:showSerName val="0"/>
          <c:showPercent val="0"/>
          <c:showBubbleSize val="0"/>
        </c:dLbls>
        <c:marker val="1"/>
        <c:smooth val="0"/>
        <c:axId val="248403072"/>
        <c:axId val="248404608"/>
      </c:lineChart>
      <c:catAx>
        <c:axId val="248403072"/>
        <c:scaling>
          <c:orientation val="minMax"/>
        </c:scaling>
        <c:delete val="0"/>
        <c:axPos val="b"/>
        <c:numFmt formatCode="General" sourceLinked="0"/>
        <c:majorTickMark val="out"/>
        <c:minorTickMark val="none"/>
        <c:tickLblPos val="nextTo"/>
        <c:txPr>
          <a:bodyPr rot="-2100000"/>
          <a:lstStyle/>
          <a:p>
            <a:pPr>
              <a:defRPr/>
            </a:pPr>
            <a:endParaRPr lang="de-DE"/>
          </a:p>
        </c:txPr>
        <c:crossAx val="248404608"/>
        <c:crossesAt val="0"/>
        <c:auto val="1"/>
        <c:lblAlgn val="ctr"/>
        <c:lblOffset val="100"/>
        <c:noMultiLvlLbl val="0"/>
      </c:catAx>
      <c:valAx>
        <c:axId val="248404608"/>
        <c:scaling>
          <c:orientation val="minMax"/>
          <c:min val="0"/>
        </c:scaling>
        <c:delete val="0"/>
        <c:axPos val="l"/>
        <c:majorGridlines/>
        <c:numFmt formatCode="General" sourceLinked="1"/>
        <c:majorTickMark val="none"/>
        <c:minorTickMark val="none"/>
        <c:tickLblPos val="none"/>
        <c:crossAx val="248403072"/>
        <c:crosses val="autoZero"/>
        <c:crossBetween val="between"/>
      </c:valAx>
      <c:spPr>
        <a:noFill/>
        <a:ln>
          <a:solidFill>
            <a:schemeClr val="tx1"/>
          </a:solidFill>
          <a:miter lim="800000"/>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1"/>
            <c:dispEq val="1"/>
            <c:trendlineLbl>
              <c:layout>
                <c:manualLayout>
                  <c:x val="5.1037689316404421E-2"/>
                  <c:y val="-0.27589442986293378"/>
                </c:manualLayout>
              </c:layout>
              <c:numFmt formatCode="General" sourceLinked="0"/>
            </c:trendlineLbl>
          </c:trendline>
          <c:xVal>
            <c:numRef>
              <c:f>Grundlagen!$E$8:$J$8</c:f>
              <c:numCache>
                <c:formatCode>0.0</c:formatCode>
                <c:ptCount val="6"/>
                <c:pt idx="0" formatCode="General">
                  <c:v>23.4</c:v>
                </c:pt>
                <c:pt idx="1">
                  <c:v>20</c:v>
                </c:pt>
                <c:pt idx="2">
                  <c:v>18</c:v>
                </c:pt>
                <c:pt idx="3">
                  <c:v>17</c:v>
                </c:pt>
                <c:pt idx="4">
                  <c:v>16</c:v>
                </c:pt>
                <c:pt idx="5">
                  <c:v>19.399999999999999</c:v>
                </c:pt>
              </c:numCache>
            </c:numRef>
          </c:xVal>
          <c:yVal>
            <c:numRef>
              <c:f>Grundlagen!$E$11:$J$11</c:f>
              <c:numCache>
                <c:formatCode>0.0</c:formatCode>
                <c:ptCount val="6"/>
                <c:pt idx="0">
                  <c:v>1</c:v>
                </c:pt>
                <c:pt idx="1">
                  <c:v>1.2</c:v>
                </c:pt>
                <c:pt idx="2">
                  <c:v>1.3</c:v>
                </c:pt>
                <c:pt idx="3">
                  <c:v>1.7</c:v>
                </c:pt>
                <c:pt idx="4">
                  <c:v>1.4</c:v>
                </c:pt>
                <c:pt idx="5">
                  <c:v>1.2</c:v>
                </c:pt>
              </c:numCache>
            </c:numRef>
          </c:yVal>
          <c:smooth val="0"/>
          <c:extLst>
            <c:ext xmlns:c16="http://schemas.microsoft.com/office/drawing/2014/chart" uri="{C3380CC4-5D6E-409C-BE32-E72D297353CC}">
              <c16:uniqueId val="{00000000-DA55-400F-8AD4-093E08E40D5B}"/>
            </c:ext>
          </c:extLst>
        </c:ser>
        <c:dLbls>
          <c:showLegendKey val="0"/>
          <c:showVal val="0"/>
          <c:showCatName val="0"/>
          <c:showSerName val="0"/>
          <c:showPercent val="0"/>
          <c:showBubbleSize val="0"/>
        </c:dLbls>
        <c:axId val="250051200"/>
        <c:axId val="250052992"/>
      </c:scatterChart>
      <c:valAx>
        <c:axId val="250051200"/>
        <c:scaling>
          <c:orientation val="minMax"/>
          <c:max val="25"/>
          <c:min val="16"/>
        </c:scaling>
        <c:delete val="0"/>
        <c:axPos val="b"/>
        <c:numFmt formatCode="General" sourceLinked="1"/>
        <c:majorTickMark val="out"/>
        <c:minorTickMark val="none"/>
        <c:tickLblPos val="nextTo"/>
        <c:crossAx val="250052992"/>
        <c:crosses val="autoZero"/>
        <c:crossBetween val="midCat"/>
      </c:valAx>
      <c:valAx>
        <c:axId val="250052992"/>
        <c:scaling>
          <c:orientation val="minMax"/>
        </c:scaling>
        <c:delete val="0"/>
        <c:axPos val="l"/>
        <c:majorGridlines/>
        <c:numFmt formatCode="0.0" sourceLinked="1"/>
        <c:majorTickMark val="out"/>
        <c:minorTickMark val="none"/>
        <c:tickLblPos val="nextTo"/>
        <c:crossAx val="250051200"/>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000">
                <a:latin typeface="Arial" panose="020B0604020202020204" pitchFamily="34" charset="0"/>
                <a:cs typeface="Arial" panose="020B0604020202020204" pitchFamily="34" charset="0"/>
              </a:rPr>
              <a:t>Abweichung von der zulässigen Belastung</a:t>
            </a:r>
          </a:p>
          <a:p>
            <a:pPr algn="l">
              <a:defRPr/>
            </a:pPr>
            <a:r>
              <a:rPr lang="en-US" sz="800" b="0">
                <a:latin typeface="Arial" panose="020B0604020202020204" pitchFamily="34" charset="0"/>
                <a:cs typeface="Arial" panose="020B0604020202020204" pitchFamily="34" charset="0"/>
              </a:rPr>
              <a:t>unterhalb</a:t>
            </a:r>
            <a:r>
              <a:rPr lang="en-US" sz="800" b="0" baseline="0">
                <a:latin typeface="Arial" panose="020B0604020202020204" pitchFamily="34" charset="0"/>
                <a:cs typeface="Arial" panose="020B0604020202020204" pitchFamily="34" charset="0"/>
              </a:rPr>
              <a:t> Grün: voraussichtlich tragbar</a:t>
            </a:r>
          </a:p>
          <a:p>
            <a:pPr algn="l">
              <a:defRPr/>
            </a:pPr>
            <a:r>
              <a:rPr lang="en-US" sz="800" b="0" baseline="0">
                <a:latin typeface="Arial" panose="020B0604020202020204" pitchFamily="34" charset="0"/>
                <a:cs typeface="Arial" panose="020B0604020202020204" pitchFamily="34" charset="0"/>
              </a:rPr>
              <a:t>über Rot: nicht tragbar</a:t>
            </a:r>
          </a:p>
          <a:p>
            <a:pPr algn="l">
              <a:defRPr/>
            </a:pPr>
            <a:endParaRPr lang="en-US" sz="1000">
              <a:latin typeface="Arial" panose="020B0604020202020204" pitchFamily="34" charset="0"/>
              <a:cs typeface="Arial" panose="020B0604020202020204" pitchFamily="34" charset="0"/>
            </a:endParaRPr>
          </a:p>
        </c:rich>
      </c:tx>
      <c:overlay val="0"/>
    </c:title>
    <c:autoTitleDeleted val="0"/>
    <c:plotArea>
      <c:layout/>
      <c:barChart>
        <c:barDir val="col"/>
        <c:grouping val="clustered"/>
        <c:varyColors val="0"/>
        <c:ser>
          <c:idx val="0"/>
          <c:order val="0"/>
          <c:tx>
            <c:strRef>
              <c:f>Gewaesserbelastung!$A$47:$A$54</c:f>
              <c:strCache>
                <c:ptCount val="8"/>
                <c:pt idx="1">
                  <c:v>DOC</c:v>
                </c:pt>
                <c:pt idx="2">
                  <c:v>NH4-N</c:v>
                </c:pt>
                <c:pt idx="3">
                  <c:v>NO3-N</c:v>
                </c:pt>
                <c:pt idx="4">
                  <c:v>P gelöst</c:v>
                </c:pt>
                <c:pt idx="5">
                  <c:v>P tot.</c:v>
                </c:pt>
                <c:pt idx="7">
                  <c:v>GUS</c:v>
                </c:pt>
              </c:strCache>
            </c:strRef>
          </c:tx>
          <c:spPr>
            <a:solidFill>
              <a:schemeClr val="bg2">
                <a:lumMod val="75000"/>
              </a:schemeClr>
            </a:solidFill>
            <a:ln>
              <a:solidFill>
                <a:schemeClr val="tx1"/>
              </a:solidFill>
            </a:ln>
          </c:spPr>
          <c:invertIfNegative val="0"/>
          <c:dPt>
            <c:idx val="6"/>
            <c:invertIfNegative val="0"/>
            <c:bubble3D val="0"/>
            <c:spPr>
              <a:solidFill>
                <a:schemeClr val="accent2">
                  <a:lumMod val="40000"/>
                  <a:lumOff val="60000"/>
                </a:schemeClr>
              </a:solidFill>
              <a:ln>
                <a:solidFill>
                  <a:schemeClr val="tx1"/>
                </a:solidFill>
              </a:ln>
            </c:spPr>
            <c:extLst>
              <c:ext xmlns:c16="http://schemas.microsoft.com/office/drawing/2014/chart" uri="{C3380CC4-5D6E-409C-BE32-E72D297353CC}">
                <c16:uniqueId val="{00000001-6EF9-4D16-8F4A-8140FC6A6969}"/>
              </c:ext>
            </c:extLst>
          </c:dPt>
          <c:cat>
            <c:strRef>
              <c:f>Gewaesserbelastung!$A$47:$A$55</c:f>
              <c:strCache>
                <c:ptCount val="8"/>
                <c:pt idx="1">
                  <c:v>DOC</c:v>
                </c:pt>
                <c:pt idx="2">
                  <c:v>NH4-N</c:v>
                </c:pt>
                <c:pt idx="3">
                  <c:v>NO3-N</c:v>
                </c:pt>
                <c:pt idx="4">
                  <c:v>P gelöst</c:v>
                </c:pt>
                <c:pt idx="5">
                  <c:v>P tot.</c:v>
                </c:pt>
                <c:pt idx="7">
                  <c:v>GUS</c:v>
                </c:pt>
              </c:strCache>
            </c:strRef>
          </c:cat>
          <c:val>
            <c:numRef>
              <c:f>Gewaesserbelastung!$G$47:$G$55</c:f>
              <c:numCache>
                <c:formatCode>0.0</c:formatCode>
                <c:ptCount val="9"/>
                <c:pt idx="1">
                  <c:v>0</c:v>
                </c:pt>
                <c:pt idx="2">
                  <c:v>0</c:v>
                </c:pt>
                <c:pt idx="3">
                  <c:v>0</c:v>
                </c:pt>
                <c:pt idx="4">
                  <c:v>0</c:v>
                </c:pt>
                <c:pt idx="5">
                  <c:v>0</c:v>
                </c:pt>
                <c:pt idx="7">
                  <c:v>0</c:v>
                </c:pt>
              </c:numCache>
            </c:numRef>
          </c:val>
          <c:extLst>
            <c:ext xmlns:c16="http://schemas.microsoft.com/office/drawing/2014/chart" uri="{C3380CC4-5D6E-409C-BE32-E72D297353CC}">
              <c16:uniqueId val="{00000002-6EF9-4D16-8F4A-8140FC6A6969}"/>
            </c:ext>
          </c:extLst>
        </c:ser>
        <c:dLbls>
          <c:showLegendKey val="0"/>
          <c:showVal val="0"/>
          <c:showCatName val="0"/>
          <c:showSerName val="0"/>
          <c:showPercent val="0"/>
          <c:showBubbleSize val="0"/>
        </c:dLbls>
        <c:gapWidth val="150"/>
        <c:axId val="249590912"/>
        <c:axId val="249592448"/>
      </c:barChart>
      <c:lineChart>
        <c:grouping val="standard"/>
        <c:varyColors val="0"/>
        <c:ser>
          <c:idx val="1"/>
          <c:order val="1"/>
          <c:tx>
            <c:strRef>
              <c:f>Gewaesserbelastung!$G$28</c:f>
              <c:strCache>
                <c:ptCount val="1"/>
                <c:pt idx="0">
                  <c:v>voraussichtlich tragbar</c:v>
                </c:pt>
              </c:strCache>
            </c:strRef>
          </c:tx>
          <c:spPr>
            <a:ln>
              <a:solidFill>
                <a:srgbClr val="00B050"/>
              </a:solidFill>
            </a:ln>
          </c:spPr>
          <c:marker>
            <c:symbol val="none"/>
          </c:marker>
          <c:val>
            <c:numRef>
              <c:f>Gewaesserbelastung!$E$47:$E$55</c:f>
              <c:numCache>
                <c:formatCode>General</c:formatCode>
                <c:ptCount val="9"/>
                <c:pt idx="0">
                  <c:v>1</c:v>
                </c:pt>
                <c:pt idx="1">
                  <c:v>1</c:v>
                </c:pt>
                <c:pt idx="2">
                  <c:v>1</c:v>
                </c:pt>
                <c:pt idx="3">
                  <c:v>1</c:v>
                </c:pt>
                <c:pt idx="4">
                  <c:v>1</c:v>
                </c:pt>
                <c:pt idx="5">
                  <c:v>1</c:v>
                </c:pt>
                <c:pt idx="6">
                  <c:v>1</c:v>
                </c:pt>
              </c:numCache>
            </c:numRef>
          </c:val>
          <c:smooth val="0"/>
          <c:extLst>
            <c:ext xmlns:c16="http://schemas.microsoft.com/office/drawing/2014/chart" uri="{C3380CC4-5D6E-409C-BE32-E72D297353CC}">
              <c16:uniqueId val="{00000003-6EF9-4D16-8F4A-8140FC6A6969}"/>
            </c:ext>
          </c:extLst>
        </c:ser>
        <c:ser>
          <c:idx val="2"/>
          <c:order val="2"/>
          <c:tx>
            <c:strRef>
              <c:f>Gewaesserbelastung!$G$29</c:f>
              <c:strCache>
                <c:ptCount val="1"/>
                <c:pt idx="0">
                  <c:v>kritisch</c:v>
                </c:pt>
              </c:strCache>
            </c:strRef>
          </c:tx>
          <c:spPr>
            <a:ln>
              <a:solidFill>
                <a:srgbClr val="FF0000"/>
              </a:solidFill>
            </a:ln>
          </c:spPr>
          <c:marker>
            <c:symbol val="none"/>
          </c:marker>
          <c:val>
            <c:numRef>
              <c:f>Gewaesserbelastung!$F$47:$F$55</c:f>
              <c:numCache>
                <c:formatCode>General</c:formatCode>
                <c:ptCount val="9"/>
                <c:pt idx="0">
                  <c:v>2</c:v>
                </c:pt>
                <c:pt idx="1">
                  <c:v>2</c:v>
                </c:pt>
                <c:pt idx="2">
                  <c:v>2</c:v>
                </c:pt>
                <c:pt idx="3">
                  <c:v>2</c:v>
                </c:pt>
                <c:pt idx="4">
                  <c:v>2</c:v>
                </c:pt>
                <c:pt idx="5">
                  <c:v>2</c:v>
                </c:pt>
              </c:numCache>
            </c:numRef>
          </c:val>
          <c:smooth val="0"/>
          <c:extLst>
            <c:ext xmlns:c16="http://schemas.microsoft.com/office/drawing/2014/chart" uri="{C3380CC4-5D6E-409C-BE32-E72D297353CC}">
              <c16:uniqueId val="{00000004-6EF9-4D16-8F4A-8140FC6A6969}"/>
            </c:ext>
          </c:extLst>
        </c:ser>
        <c:ser>
          <c:idx val="3"/>
          <c:order val="3"/>
          <c:tx>
            <c:strRef>
              <c:f>Gewaesserbelastung!$G$28</c:f>
              <c:strCache>
                <c:ptCount val="1"/>
                <c:pt idx="0">
                  <c:v>voraussichtlich tragbar</c:v>
                </c:pt>
              </c:strCache>
            </c:strRef>
          </c:tx>
          <c:spPr>
            <a:ln>
              <a:solidFill>
                <a:srgbClr val="FF0000"/>
              </a:solidFill>
            </a:ln>
          </c:spPr>
          <c:marker>
            <c:symbol val="none"/>
          </c:marker>
          <c:val>
            <c:numRef>
              <c:f>Gewaesserbelastung!$H$47:$H$55</c:f>
              <c:numCache>
                <c:formatCode>General</c:formatCode>
                <c:ptCount val="9"/>
                <c:pt idx="6">
                  <c:v>1</c:v>
                </c:pt>
                <c:pt idx="7">
                  <c:v>1</c:v>
                </c:pt>
                <c:pt idx="8">
                  <c:v>1</c:v>
                </c:pt>
              </c:numCache>
            </c:numRef>
          </c:val>
          <c:smooth val="0"/>
          <c:extLst>
            <c:ext xmlns:c16="http://schemas.microsoft.com/office/drawing/2014/chart" uri="{C3380CC4-5D6E-409C-BE32-E72D297353CC}">
              <c16:uniqueId val="{00000005-6EF9-4D16-8F4A-8140FC6A6969}"/>
            </c:ext>
          </c:extLst>
        </c:ser>
        <c:dLbls>
          <c:showLegendKey val="0"/>
          <c:showVal val="0"/>
          <c:showCatName val="0"/>
          <c:showSerName val="0"/>
          <c:showPercent val="0"/>
          <c:showBubbleSize val="0"/>
        </c:dLbls>
        <c:marker val="1"/>
        <c:smooth val="0"/>
        <c:axId val="249590912"/>
        <c:axId val="249592448"/>
      </c:lineChart>
      <c:catAx>
        <c:axId val="249590912"/>
        <c:scaling>
          <c:orientation val="minMax"/>
        </c:scaling>
        <c:delete val="0"/>
        <c:axPos val="b"/>
        <c:numFmt formatCode="General" sourceLinked="0"/>
        <c:majorTickMark val="out"/>
        <c:minorTickMark val="none"/>
        <c:tickLblPos val="nextTo"/>
        <c:crossAx val="249592448"/>
        <c:crossesAt val="0"/>
        <c:auto val="1"/>
        <c:lblAlgn val="ctr"/>
        <c:lblOffset val="100"/>
        <c:noMultiLvlLbl val="0"/>
      </c:catAx>
      <c:valAx>
        <c:axId val="249592448"/>
        <c:scaling>
          <c:orientation val="minMax"/>
          <c:min val="0"/>
        </c:scaling>
        <c:delete val="0"/>
        <c:axPos val="l"/>
        <c:majorGridlines/>
        <c:numFmt formatCode="General" sourceLinked="1"/>
        <c:majorTickMark val="none"/>
        <c:minorTickMark val="none"/>
        <c:tickLblPos val="none"/>
        <c:crossAx val="249590912"/>
        <c:crosses val="autoZero"/>
        <c:crossBetween val="between"/>
      </c:valAx>
      <c:spPr>
        <a:noFill/>
        <a:ln>
          <a:solidFill>
            <a:schemeClr val="tx1"/>
          </a:solidFill>
          <a:miter lim="800000"/>
        </a:ln>
      </c:spPr>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1"/>
            <c:trendlineLbl>
              <c:layout>
                <c:manualLayout>
                  <c:x val="0.30331474785046064"/>
                  <c:y val="-0.63286419303956731"/>
                </c:manualLayout>
              </c:layout>
              <c:numFmt formatCode="General" sourceLinked="0"/>
            </c:trendlineLbl>
          </c:trendline>
          <c:xVal>
            <c:numRef>
              <c:f>'Grundlagen Wirtschaftlichkeit'!$E$131:$H$131</c:f>
              <c:numCache>
                <c:formatCode>General</c:formatCode>
                <c:ptCount val="4"/>
                <c:pt idx="0">
                  <c:v>3</c:v>
                </c:pt>
                <c:pt idx="2">
                  <c:v>10</c:v>
                </c:pt>
                <c:pt idx="3">
                  <c:v>30</c:v>
                </c:pt>
              </c:numCache>
            </c:numRef>
          </c:xVal>
          <c:yVal>
            <c:numRef>
              <c:f>'Grundlagen Wirtschaftlichkeit'!$E$134:$H$134</c:f>
              <c:numCache>
                <c:formatCode>General</c:formatCode>
                <c:ptCount val="4"/>
                <c:pt idx="0" formatCode="0">
                  <c:v>36582</c:v>
                </c:pt>
                <c:pt idx="2" formatCode="0">
                  <c:v>39420</c:v>
                </c:pt>
                <c:pt idx="3" formatCode="0">
                  <c:v>65700</c:v>
                </c:pt>
              </c:numCache>
            </c:numRef>
          </c:yVal>
          <c:smooth val="0"/>
          <c:extLst>
            <c:ext xmlns:c16="http://schemas.microsoft.com/office/drawing/2014/chart" uri="{C3380CC4-5D6E-409C-BE32-E72D297353CC}">
              <c16:uniqueId val="{00000000-AD47-4C0B-806C-9D0F64741AE7}"/>
            </c:ext>
          </c:extLst>
        </c:ser>
        <c:dLbls>
          <c:showLegendKey val="0"/>
          <c:showVal val="0"/>
          <c:showCatName val="0"/>
          <c:showSerName val="0"/>
          <c:showPercent val="0"/>
          <c:showBubbleSize val="0"/>
        </c:dLbls>
        <c:axId val="249666176"/>
        <c:axId val="249688448"/>
      </c:scatterChart>
      <c:valAx>
        <c:axId val="249666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de-DE"/>
          </a:p>
        </c:txPr>
        <c:crossAx val="249688448"/>
        <c:crosses val="autoZero"/>
        <c:crossBetween val="midCat"/>
      </c:valAx>
      <c:valAx>
        <c:axId val="249688448"/>
        <c:scaling>
          <c:orientation val="minMax"/>
        </c:scaling>
        <c:delete val="0"/>
        <c:axPos val="l"/>
        <c:majorGridlines/>
        <c:numFmt formatCode="0" sourceLinked="1"/>
        <c:majorTickMark val="out"/>
        <c:minorTickMark val="none"/>
        <c:tickLblPos val="nextTo"/>
        <c:crossAx val="249666176"/>
        <c:crosses val="autoZero"/>
        <c:crossBetween val="midCat"/>
        <c:dispUnits>
          <c:builtInUnit val="thousands"/>
          <c:dispUnitsLbl/>
        </c:dispUnits>
      </c:valAx>
    </c:plotArea>
    <c:legend>
      <c:legendPos val="r"/>
      <c:overlay val="0"/>
    </c:legend>
    <c:plotVisOnly val="1"/>
    <c:dispBlanksAs val="gap"/>
    <c:showDLblsOverMax val="0"/>
  </c:chart>
  <c:spPr>
    <a:solidFill>
      <a:schemeClr val="accent4">
        <a:lumMod val="40000"/>
        <a:lumOff val="60000"/>
      </a:schemeClr>
    </a:solidFill>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1"/>
            <c:trendlineLbl>
              <c:layout>
                <c:manualLayout>
                  <c:x val="-2.5608923884514436E-2"/>
                  <c:y val="-6.3326407115777195E-2"/>
                </c:manualLayout>
              </c:layout>
              <c:numFmt formatCode="General" sourceLinked="0"/>
            </c:trendlineLbl>
          </c:trendline>
          <c:xVal>
            <c:numRef>
              <c:f>'Grundlagen Wirtschaftlichkeit'!$C$190:$C$195</c:f>
              <c:numCache>
                <c:formatCode>General</c:formatCode>
                <c:ptCount val="6"/>
                <c:pt idx="0">
                  <c:v>15</c:v>
                </c:pt>
                <c:pt idx="1">
                  <c:v>30</c:v>
                </c:pt>
                <c:pt idx="2">
                  <c:v>45</c:v>
                </c:pt>
                <c:pt idx="3">
                  <c:v>60</c:v>
                </c:pt>
                <c:pt idx="4">
                  <c:v>100</c:v>
                </c:pt>
                <c:pt idx="5">
                  <c:v>200</c:v>
                </c:pt>
              </c:numCache>
            </c:numRef>
          </c:xVal>
          <c:yVal>
            <c:numRef>
              <c:f>'Grundlagen Wirtschaftlichkeit'!$E$190:$E$195</c:f>
              <c:numCache>
                <c:formatCode>0</c:formatCode>
                <c:ptCount val="6"/>
                <c:pt idx="0">
                  <c:v>369960</c:v>
                </c:pt>
                <c:pt idx="1">
                  <c:v>422640</c:v>
                </c:pt>
                <c:pt idx="2">
                  <c:v>468382.5</c:v>
                </c:pt>
                <c:pt idx="3">
                  <c:v>590355</c:v>
                </c:pt>
                <c:pt idx="4">
                  <c:v>748950</c:v>
                </c:pt>
                <c:pt idx="5">
                  <c:v>1130400</c:v>
                </c:pt>
              </c:numCache>
            </c:numRef>
          </c:yVal>
          <c:smooth val="0"/>
          <c:extLst>
            <c:ext xmlns:c16="http://schemas.microsoft.com/office/drawing/2014/chart" uri="{C3380CC4-5D6E-409C-BE32-E72D297353CC}">
              <c16:uniqueId val="{00000000-DF35-480C-8890-89544368DF2E}"/>
            </c:ext>
          </c:extLst>
        </c:ser>
        <c:dLbls>
          <c:showLegendKey val="0"/>
          <c:showVal val="0"/>
          <c:showCatName val="0"/>
          <c:showSerName val="0"/>
          <c:showPercent val="0"/>
          <c:showBubbleSize val="0"/>
        </c:dLbls>
        <c:axId val="250831232"/>
        <c:axId val="250832768"/>
      </c:scatterChart>
      <c:valAx>
        <c:axId val="250831232"/>
        <c:scaling>
          <c:orientation val="minMax"/>
        </c:scaling>
        <c:delete val="0"/>
        <c:axPos val="b"/>
        <c:numFmt formatCode="General" sourceLinked="1"/>
        <c:majorTickMark val="out"/>
        <c:minorTickMark val="none"/>
        <c:tickLblPos val="nextTo"/>
        <c:crossAx val="250832768"/>
        <c:crosses val="autoZero"/>
        <c:crossBetween val="midCat"/>
      </c:valAx>
      <c:valAx>
        <c:axId val="250832768"/>
        <c:scaling>
          <c:orientation val="minMax"/>
        </c:scaling>
        <c:delete val="0"/>
        <c:axPos val="l"/>
        <c:majorGridlines/>
        <c:numFmt formatCode="0" sourceLinked="1"/>
        <c:majorTickMark val="out"/>
        <c:minorTickMark val="none"/>
        <c:tickLblPos val="nextTo"/>
        <c:crossAx val="250831232"/>
        <c:crosses val="autoZero"/>
        <c:crossBetween val="midCat"/>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Drop" dropLines="2" dropStyle="combo" dx="16" fmlaLink="N2" fmlaRange="Sprachen" noThreeD="1" sel="1" val="0"/>
</file>

<file path=xl/ctrlProps/ctrlProp10.xml><?xml version="1.0" encoding="utf-8"?>
<formControlPr xmlns="http://schemas.microsoft.com/office/spreadsheetml/2009/9/main" objectType="Drop" dropLines="3" dropStyle="combo" dx="16" fmlaLink="$C$77" fmlaRange="Vorbeh" noThreeD="1" sel="1" val="0"/>
</file>

<file path=xl/ctrlProps/ctrlProp11.xml><?xml version="1.0" encoding="utf-8"?>
<formControlPr xmlns="http://schemas.microsoft.com/office/spreadsheetml/2009/9/main" objectType="Drop" dropStyle="combo" dx="16" noThreeD="1" sel="0" val="0"/>
</file>

<file path=xl/ctrlProps/ctrlProp2.xml><?xml version="1.0" encoding="utf-8"?>
<formControlPr xmlns="http://schemas.microsoft.com/office/spreadsheetml/2009/9/main" objectType="Drop" dropLines="3" dropStyle="combo" dx="16" fmlaLink="$C$14" fmlaRange="EZSee" noThreeD="1" sel="1" val="0"/>
</file>

<file path=xl/ctrlProps/ctrlProp3.xml><?xml version="1.0" encoding="utf-8"?>
<formControlPr xmlns="http://schemas.microsoft.com/office/spreadsheetml/2009/9/main" objectType="Drop" dropLines="3" dropStyle="combo" dx="16" fmlaLink="$C$19" fmlaRange="Anlagetyp" noThreeD="1" sel="3" val="0"/>
</file>

<file path=xl/ctrlProps/ctrlProp4.xml><?xml version="1.0" encoding="utf-8"?>
<formControlPr xmlns="http://schemas.microsoft.com/office/spreadsheetml/2009/9/main" objectType="Drop" dropLines="2" dropStyle="combo" dx="16" fmlaLink="$C$20" fmlaRange="Zuchtart" noThreeD="1" sel="1" val="0"/>
</file>

<file path=xl/ctrlProps/ctrlProp5.xml><?xml version="1.0" encoding="utf-8"?>
<formControlPr xmlns="http://schemas.microsoft.com/office/spreadsheetml/2009/9/main" objectType="Drop" dropLines="2" dropStyle="combo" dx="16" fmlaLink="$C$58" fmlaRange="QWasser" noThreeD="1" sel="1" val="0"/>
</file>

<file path=xl/ctrlProps/ctrlProp6.xml><?xml version="1.0" encoding="utf-8"?>
<formControlPr xmlns="http://schemas.microsoft.com/office/spreadsheetml/2009/9/main" objectType="Drop" dropLines="2" dropStyle="combo" dx="16" fmlaLink="$C$59" fmlaRange="DOCVorbel" noThreeD="1" sel="1" val="0"/>
</file>

<file path=xl/ctrlProps/ctrlProp7.xml><?xml version="1.0" encoding="utf-8"?>
<formControlPr xmlns="http://schemas.microsoft.com/office/spreadsheetml/2009/9/main" objectType="Drop" dropLines="4" dropStyle="combo" dx="16" fmlaLink="$C$73" fmlaRange="Schlamm" noThreeD="1" sel="1" val="0"/>
</file>

<file path=xl/ctrlProps/ctrlProp8.xml><?xml version="1.0" encoding="utf-8"?>
<formControlPr xmlns="http://schemas.microsoft.com/office/spreadsheetml/2009/9/main" objectType="Drop" dropLines="4" dropStyle="combo" dx="16" fmlaLink="$C$74" fmlaRange="Entwässerung" noThreeD="1" sel="2" val="0"/>
</file>

<file path=xl/ctrlProps/ctrlProp9.xml><?xml version="1.0" encoding="utf-8"?>
<formControlPr xmlns="http://schemas.microsoft.com/office/spreadsheetml/2009/9/main" objectType="Drop" dropLines="2" dropStyle="combo" dx="16" fmlaLink="$C$76" fmlaRange="PhosphorF" noThreeD="1" sel="1"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609600</xdr:colOff>
      <xdr:row>73</xdr:row>
      <xdr:rowOff>119352</xdr:rowOff>
    </xdr:from>
    <xdr:to>
      <xdr:col>13</xdr:col>
      <xdr:colOff>1143000</xdr:colOff>
      <xdr:row>76</xdr:row>
      <xdr:rowOff>142874</xdr:rowOff>
    </xdr:to>
    <xdr:graphicFrame macro="">
      <xdr:nvGraphicFramePr>
        <xdr:cNvPr id="3" name="Diagramm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9527</xdr:colOff>
      <xdr:row>40</xdr:row>
      <xdr:rowOff>114300</xdr:rowOff>
    </xdr:from>
    <xdr:to>
      <xdr:col>10</xdr:col>
      <xdr:colOff>285751</xdr:colOff>
      <xdr:row>45</xdr:row>
      <xdr:rowOff>85725</xdr:rowOff>
    </xdr:to>
    <xdr:grpSp>
      <xdr:nvGrpSpPr>
        <xdr:cNvPr id="54" name="Gruppieren 53"/>
        <xdr:cNvGrpSpPr/>
      </xdr:nvGrpSpPr>
      <xdr:grpSpPr>
        <a:xfrm>
          <a:off x="7324727" y="8553450"/>
          <a:ext cx="276224" cy="885825"/>
          <a:chOff x="10668002" y="8467725"/>
          <a:chExt cx="276224" cy="885825"/>
        </a:xfrm>
      </xdr:grpSpPr>
      <xdr:cxnSp macro="">
        <xdr:nvCxnSpPr>
          <xdr:cNvPr id="40" name="Gerade Verbindung 39"/>
          <xdr:cNvCxnSpPr/>
        </xdr:nvCxnSpPr>
        <xdr:spPr>
          <a:xfrm flipH="1">
            <a:off x="10825163" y="9353550"/>
            <a:ext cx="119063" cy="0"/>
          </a:xfrm>
          <a:prstGeom prst="line">
            <a:avLst/>
          </a:prstGeom>
          <a:ln w="190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 name="Gerade Verbindung 41"/>
          <xdr:cNvCxnSpPr/>
        </xdr:nvCxnSpPr>
        <xdr:spPr>
          <a:xfrm flipV="1">
            <a:off x="10815638" y="8467726"/>
            <a:ext cx="4762" cy="885824"/>
          </a:xfrm>
          <a:prstGeom prst="line">
            <a:avLst/>
          </a:prstGeom>
          <a:ln w="19050">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 name="Gerade Verbindung mit Pfeil 43"/>
          <xdr:cNvCxnSpPr/>
        </xdr:nvCxnSpPr>
        <xdr:spPr>
          <a:xfrm flipH="1">
            <a:off x="10668002" y="8467725"/>
            <a:ext cx="147636" cy="1"/>
          </a:xfrm>
          <a:prstGeom prst="straightConnector1">
            <a:avLst/>
          </a:prstGeom>
          <a:ln w="19050">
            <a:solidFill>
              <a:schemeClr val="accent6">
                <a:lumMod val="60000"/>
                <a:lumOff val="40000"/>
              </a:schemeClr>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13</xdr:col>
          <xdr:colOff>619125</xdr:colOff>
          <xdr:row>1</xdr:row>
          <xdr:rowOff>9525</xdr:rowOff>
        </xdr:from>
        <xdr:to>
          <xdr:col>13</xdr:col>
          <xdr:colOff>1181100</xdr:colOff>
          <xdr:row>1</xdr:row>
          <xdr:rowOff>247650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180975</xdr:rowOff>
        </xdr:from>
        <xdr:to>
          <xdr:col>8</xdr:col>
          <xdr:colOff>790575</xdr:colOff>
          <xdr:row>11</xdr:row>
          <xdr:rowOff>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9525</xdr:rowOff>
        </xdr:from>
        <xdr:to>
          <xdr:col>7</xdr:col>
          <xdr:colOff>1238250</xdr:colOff>
          <xdr:row>17</xdr:row>
          <xdr:rowOff>457200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9525</xdr:rowOff>
        </xdr:from>
        <xdr:to>
          <xdr:col>7</xdr:col>
          <xdr:colOff>1238250</xdr:colOff>
          <xdr:row>18</xdr:row>
          <xdr:rowOff>457200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161925</xdr:rowOff>
        </xdr:from>
        <xdr:to>
          <xdr:col>10</xdr:col>
          <xdr:colOff>0</xdr:colOff>
          <xdr:row>53</xdr:row>
          <xdr:rowOff>9525</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161925</xdr:rowOff>
        </xdr:from>
        <xdr:to>
          <xdr:col>12</xdr:col>
          <xdr:colOff>19050</xdr:colOff>
          <xdr:row>59</xdr:row>
          <xdr:rowOff>19050</xdr:rowOff>
        </xdr:to>
        <xdr:sp macro="" textlink="">
          <xdr:nvSpPr>
            <xdr:cNvPr id="1035" name="Drop Down 11"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68</xdr:row>
          <xdr:rowOff>19050</xdr:rowOff>
        </xdr:from>
        <xdr:to>
          <xdr:col>8</xdr:col>
          <xdr:colOff>1295400</xdr:colOff>
          <xdr:row>68</xdr:row>
          <xdr:rowOff>609600</xdr:rowOff>
        </xdr:to>
        <xdr:sp macro="" textlink="">
          <xdr:nvSpPr>
            <xdr:cNvPr id="1037" name="Drop Down 13"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69</xdr:row>
          <xdr:rowOff>19050</xdr:rowOff>
        </xdr:from>
        <xdr:to>
          <xdr:col>8</xdr:col>
          <xdr:colOff>1295400</xdr:colOff>
          <xdr:row>69</xdr:row>
          <xdr:rowOff>609600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9525</xdr:rowOff>
        </xdr:from>
        <xdr:to>
          <xdr:col>8</xdr:col>
          <xdr:colOff>1285875</xdr:colOff>
          <xdr:row>78</xdr:row>
          <xdr:rowOff>619125</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9525</xdr:rowOff>
        </xdr:from>
        <xdr:to>
          <xdr:col>8</xdr:col>
          <xdr:colOff>1285875</xdr:colOff>
          <xdr:row>79</xdr:row>
          <xdr:rowOff>619125</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6</xdr:row>
          <xdr:rowOff>0</xdr:rowOff>
        </xdr:from>
        <xdr:to>
          <xdr:col>11</xdr:col>
          <xdr:colOff>1152525</xdr:colOff>
          <xdr:row>7</xdr:row>
          <xdr:rowOff>9525</xdr:rowOff>
        </xdr:to>
        <xdr:sp macro="" textlink="">
          <xdr:nvSpPr>
            <xdr:cNvPr id="1044" name="Drop Down 20"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242</xdr:row>
      <xdr:rowOff>9525</xdr:rowOff>
    </xdr:from>
    <xdr:to>
      <xdr:col>2</xdr:col>
      <xdr:colOff>1095375</xdr:colOff>
      <xdr:row>251</xdr:row>
      <xdr:rowOff>142875</xdr:rowOff>
    </xdr:to>
    <xdr:sp macro="" textlink="">
      <xdr:nvSpPr>
        <xdr:cNvPr id="2" name="Rechteck 1"/>
        <xdr:cNvSpPr/>
      </xdr:nvSpPr>
      <xdr:spPr>
        <a:xfrm>
          <a:off x="790575" y="32080200"/>
          <a:ext cx="3343275" cy="159067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Fischbecken</a:t>
          </a:r>
        </a:p>
      </xdr:txBody>
    </xdr:sp>
    <xdr:clientData/>
  </xdr:twoCellAnchor>
  <xdr:twoCellAnchor>
    <xdr:from>
      <xdr:col>3</xdr:col>
      <xdr:colOff>742950</xdr:colOff>
      <xdr:row>241</xdr:row>
      <xdr:rowOff>152400</xdr:rowOff>
    </xdr:from>
    <xdr:to>
      <xdr:col>3</xdr:col>
      <xdr:colOff>1733550</xdr:colOff>
      <xdr:row>247</xdr:row>
      <xdr:rowOff>104775</xdr:rowOff>
    </xdr:to>
    <xdr:sp macro="" textlink="">
      <xdr:nvSpPr>
        <xdr:cNvPr id="3" name="Ellipse 2"/>
        <xdr:cNvSpPr/>
      </xdr:nvSpPr>
      <xdr:spPr>
        <a:xfrm>
          <a:off x="5591175" y="32061150"/>
          <a:ext cx="990600" cy="923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Trommelfilter</a:t>
          </a:r>
        </a:p>
      </xdr:txBody>
    </xdr:sp>
    <xdr:clientData/>
  </xdr:twoCellAnchor>
  <xdr:twoCellAnchor>
    <xdr:from>
      <xdr:col>2</xdr:col>
      <xdr:colOff>981075</xdr:colOff>
      <xdr:row>243</xdr:row>
      <xdr:rowOff>57150</xdr:rowOff>
    </xdr:from>
    <xdr:to>
      <xdr:col>3</xdr:col>
      <xdr:colOff>771525</xdr:colOff>
      <xdr:row>243</xdr:row>
      <xdr:rowOff>104775</xdr:rowOff>
    </xdr:to>
    <xdr:sp macro="" textlink="">
      <xdr:nvSpPr>
        <xdr:cNvPr id="4" name="Pfeil nach rechts 3"/>
        <xdr:cNvSpPr/>
      </xdr:nvSpPr>
      <xdr:spPr>
        <a:xfrm>
          <a:off x="4019550" y="32289750"/>
          <a:ext cx="1600200"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457200</xdr:colOff>
      <xdr:row>251</xdr:row>
      <xdr:rowOff>95251</xdr:rowOff>
    </xdr:from>
    <xdr:to>
      <xdr:col>3</xdr:col>
      <xdr:colOff>2162175</xdr:colOff>
      <xdr:row>258</xdr:row>
      <xdr:rowOff>142876</xdr:rowOff>
    </xdr:to>
    <xdr:sp macro="" textlink="">
      <xdr:nvSpPr>
        <xdr:cNvPr id="5" name="Flussdiagramm: Zusammenführen 4"/>
        <xdr:cNvSpPr/>
      </xdr:nvSpPr>
      <xdr:spPr>
        <a:xfrm>
          <a:off x="5305425" y="33623251"/>
          <a:ext cx="1704975" cy="1181100"/>
        </a:xfrm>
        <a:prstGeom prst="flowChartMerg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Schlammabsetzung</a:t>
          </a:r>
        </a:p>
      </xdr:txBody>
    </xdr:sp>
    <xdr:clientData/>
  </xdr:twoCellAnchor>
  <xdr:twoCellAnchor>
    <xdr:from>
      <xdr:col>3</xdr:col>
      <xdr:colOff>1266825</xdr:colOff>
      <xdr:row>247</xdr:row>
      <xdr:rowOff>123825</xdr:rowOff>
    </xdr:from>
    <xdr:to>
      <xdr:col>3</xdr:col>
      <xdr:colOff>1312544</xdr:colOff>
      <xdr:row>251</xdr:row>
      <xdr:rowOff>95250</xdr:rowOff>
    </xdr:to>
    <xdr:sp macro="" textlink="">
      <xdr:nvSpPr>
        <xdr:cNvPr id="6" name="Pfeil nach unten 5"/>
        <xdr:cNvSpPr/>
      </xdr:nvSpPr>
      <xdr:spPr>
        <a:xfrm>
          <a:off x="6115050" y="33004125"/>
          <a:ext cx="45719"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19050</xdr:colOff>
      <xdr:row>243</xdr:row>
      <xdr:rowOff>28575</xdr:rowOff>
    </xdr:from>
    <xdr:to>
      <xdr:col>6</xdr:col>
      <xdr:colOff>19050</xdr:colOff>
      <xdr:row>249</xdr:row>
      <xdr:rowOff>9525</xdr:rowOff>
    </xdr:to>
    <xdr:sp macro="" textlink="">
      <xdr:nvSpPr>
        <xdr:cNvPr id="7" name="Rechteck 6"/>
        <xdr:cNvSpPr/>
      </xdr:nvSpPr>
      <xdr:spPr>
        <a:xfrm>
          <a:off x="7239000" y="32261175"/>
          <a:ext cx="1685925" cy="952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Biofilter</a:t>
          </a:r>
        </a:p>
      </xdr:txBody>
    </xdr:sp>
    <xdr:clientData/>
  </xdr:twoCellAnchor>
  <xdr:twoCellAnchor>
    <xdr:from>
      <xdr:col>3</xdr:col>
      <xdr:colOff>1752600</xdr:colOff>
      <xdr:row>244</xdr:row>
      <xdr:rowOff>38100</xdr:rowOff>
    </xdr:from>
    <xdr:to>
      <xdr:col>4</xdr:col>
      <xdr:colOff>28575</xdr:colOff>
      <xdr:row>244</xdr:row>
      <xdr:rowOff>133350</xdr:rowOff>
    </xdr:to>
    <xdr:sp macro="" textlink="">
      <xdr:nvSpPr>
        <xdr:cNvPr id="8" name="Pfeil nach rechts 7"/>
        <xdr:cNvSpPr/>
      </xdr:nvSpPr>
      <xdr:spPr>
        <a:xfrm>
          <a:off x="6600825" y="32432625"/>
          <a:ext cx="647700" cy="95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1104900</xdr:colOff>
      <xdr:row>247</xdr:row>
      <xdr:rowOff>142874</xdr:rowOff>
    </xdr:from>
    <xdr:to>
      <xdr:col>4</xdr:col>
      <xdr:colOff>19050</xdr:colOff>
      <xdr:row>248</xdr:row>
      <xdr:rowOff>123824</xdr:rowOff>
    </xdr:to>
    <xdr:sp macro="" textlink="">
      <xdr:nvSpPr>
        <xdr:cNvPr id="9" name="Pfeil nach rechts 8"/>
        <xdr:cNvSpPr/>
      </xdr:nvSpPr>
      <xdr:spPr>
        <a:xfrm rot="10800000">
          <a:off x="4143375" y="33023174"/>
          <a:ext cx="3095625" cy="142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1276350</xdr:colOff>
      <xdr:row>258</xdr:row>
      <xdr:rowOff>114300</xdr:rowOff>
    </xdr:from>
    <xdr:to>
      <xdr:col>3</xdr:col>
      <xdr:colOff>1352550</xdr:colOff>
      <xdr:row>264</xdr:row>
      <xdr:rowOff>19050</xdr:rowOff>
    </xdr:to>
    <xdr:sp macro="" textlink="">
      <xdr:nvSpPr>
        <xdr:cNvPr id="10" name="Pfeil nach unten 9"/>
        <xdr:cNvSpPr/>
      </xdr:nvSpPr>
      <xdr:spPr>
        <a:xfrm>
          <a:off x="6124575" y="34775775"/>
          <a:ext cx="76200" cy="876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28575</xdr:colOff>
      <xdr:row>252</xdr:row>
      <xdr:rowOff>38099</xdr:rowOff>
    </xdr:from>
    <xdr:to>
      <xdr:col>3</xdr:col>
      <xdr:colOff>504825</xdr:colOff>
      <xdr:row>252</xdr:row>
      <xdr:rowOff>83818</xdr:rowOff>
    </xdr:to>
    <xdr:sp macro="" textlink="">
      <xdr:nvSpPr>
        <xdr:cNvPr id="11" name="Pfeil nach rechts 10"/>
        <xdr:cNvSpPr/>
      </xdr:nvSpPr>
      <xdr:spPr>
        <a:xfrm rot="10800000">
          <a:off x="4876800" y="33728024"/>
          <a:ext cx="476250" cy="45719"/>
        </a:xfrm>
        <a:prstGeom prs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19050</xdr:colOff>
      <xdr:row>244</xdr:row>
      <xdr:rowOff>142875</xdr:rowOff>
    </xdr:from>
    <xdr:to>
      <xdr:col>3</xdr:col>
      <xdr:colOff>733425</xdr:colOff>
      <xdr:row>245</xdr:row>
      <xdr:rowOff>57150</xdr:rowOff>
    </xdr:to>
    <xdr:sp macro="" textlink="">
      <xdr:nvSpPr>
        <xdr:cNvPr id="12" name="Pfeil nach rechts 11"/>
        <xdr:cNvSpPr/>
      </xdr:nvSpPr>
      <xdr:spPr>
        <a:xfrm>
          <a:off x="4867275" y="32537400"/>
          <a:ext cx="714375" cy="76200"/>
        </a:xfrm>
        <a:prstGeom prs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1790700</xdr:colOff>
      <xdr:row>245</xdr:row>
      <xdr:rowOff>28575</xdr:rowOff>
    </xdr:from>
    <xdr:to>
      <xdr:col>3</xdr:col>
      <xdr:colOff>26669</xdr:colOff>
      <xdr:row>252</xdr:row>
      <xdr:rowOff>95250</xdr:rowOff>
    </xdr:to>
    <xdr:sp macro="" textlink="">
      <xdr:nvSpPr>
        <xdr:cNvPr id="14" name="Pfeil nach oben 13"/>
        <xdr:cNvSpPr/>
      </xdr:nvSpPr>
      <xdr:spPr>
        <a:xfrm>
          <a:off x="4829175" y="32585025"/>
          <a:ext cx="45719" cy="1200150"/>
        </a:xfrm>
        <a:prstGeom prst="up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800100</xdr:colOff>
      <xdr:row>252</xdr:row>
      <xdr:rowOff>57150</xdr:rowOff>
    </xdr:from>
    <xdr:to>
      <xdr:col>6</xdr:col>
      <xdr:colOff>476250</xdr:colOff>
      <xdr:row>260</xdr:row>
      <xdr:rowOff>19050</xdr:rowOff>
    </xdr:to>
    <xdr:sp macro="" textlink="">
      <xdr:nvSpPr>
        <xdr:cNvPr id="15" name="Ellipse 14"/>
        <xdr:cNvSpPr/>
      </xdr:nvSpPr>
      <xdr:spPr>
        <a:xfrm>
          <a:off x="8020050" y="33747075"/>
          <a:ext cx="1362075" cy="125730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P-Fällung</a:t>
          </a:r>
        </a:p>
      </xdr:txBody>
    </xdr:sp>
    <xdr:clientData/>
  </xdr:twoCellAnchor>
  <xdr:twoCellAnchor>
    <xdr:from>
      <xdr:col>5</xdr:col>
      <xdr:colOff>457200</xdr:colOff>
      <xdr:row>249</xdr:row>
      <xdr:rowOff>19050</xdr:rowOff>
    </xdr:from>
    <xdr:to>
      <xdr:col>5</xdr:col>
      <xdr:colOff>523875</xdr:colOff>
      <xdr:row>252</xdr:row>
      <xdr:rowOff>76200</xdr:rowOff>
    </xdr:to>
    <xdr:sp macro="" textlink="">
      <xdr:nvSpPr>
        <xdr:cNvPr id="16" name="Pfeil nach unten 15"/>
        <xdr:cNvSpPr/>
      </xdr:nvSpPr>
      <xdr:spPr>
        <a:xfrm>
          <a:off x="8601075" y="33223200"/>
          <a:ext cx="66675" cy="542925"/>
        </a:xfrm>
        <a:prstGeom prst="down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457200</xdr:colOff>
      <xdr:row>255</xdr:row>
      <xdr:rowOff>133350</xdr:rowOff>
    </xdr:from>
    <xdr:to>
      <xdr:col>7</xdr:col>
      <xdr:colOff>723900</xdr:colOff>
      <xdr:row>256</xdr:row>
      <xdr:rowOff>17144</xdr:rowOff>
    </xdr:to>
    <xdr:sp macro="" textlink="">
      <xdr:nvSpPr>
        <xdr:cNvPr id="17" name="Pfeil nach rechts 16"/>
        <xdr:cNvSpPr/>
      </xdr:nvSpPr>
      <xdr:spPr>
        <a:xfrm>
          <a:off x="9363075" y="34309050"/>
          <a:ext cx="1028700" cy="45719"/>
        </a:xfrm>
        <a:prstGeom prst="rightArrow">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1981200</xdr:colOff>
      <xdr:row>252</xdr:row>
      <xdr:rowOff>133350</xdr:rowOff>
    </xdr:from>
    <xdr:to>
      <xdr:col>4</xdr:col>
      <xdr:colOff>219075</xdr:colOff>
      <xdr:row>253</xdr:row>
      <xdr:rowOff>17144</xdr:rowOff>
    </xdr:to>
    <xdr:sp macro="" textlink="">
      <xdr:nvSpPr>
        <xdr:cNvPr id="18" name="Pfeil nach rechts 17"/>
        <xdr:cNvSpPr/>
      </xdr:nvSpPr>
      <xdr:spPr>
        <a:xfrm>
          <a:off x="6829425" y="33823275"/>
          <a:ext cx="609600" cy="45719"/>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228600</xdr:colOff>
      <xdr:row>252</xdr:row>
      <xdr:rowOff>123825</xdr:rowOff>
    </xdr:from>
    <xdr:to>
      <xdr:col>4</xdr:col>
      <xdr:colOff>274319</xdr:colOff>
      <xdr:row>262</xdr:row>
      <xdr:rowOff>85725</xdr:rowOff>
    </xdr:to>
    <xdr:sp macro="" textlink="">
      <xdr:nvSpPr>
        <xdr:cNvPr id="19" name="Pfeil nach unten 18"/>
        <xdr:cNvSpPr/>
      </xdr:nvSpPr>
      <xdr:spPr>
        <a:xfrm>
          <a:off x="7448550" y="33813750"/>
          <a:ext cx="45719" cy="1581150"/>
        </a:xfrm>
        <a:prstGeom prst="down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390526</xdr:colOff>
      <xdr:row>262</xdr:row>
      <xdr:rowOff>57150</xdr:rowOff>
    </xdr:from>
    <xdr:to>
      <xdr:col>7</xdr:col>
      <xdr:colOff>723900</xdr:colOff>
      <xdr:row>262</xdr:row>
      <xdr:rowOff>123825</xdr:rowOff>
    </xdr:to>
    <xdr:sp macro="" textlink="">
      <xdr:nvSpPr>
        <xdr:cNvPr id="20" name="Pfeil nach rechts 19"/>
        <xdr:cNvSpPr/>
      </xdr:nvSpPr>
      <xdr:spPr>
        <a:xfrm>
          <a:off x="8534401" y="35366325"/>
          <a:ext cx="1857374" cy="66675"/>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1733550</xdr:colOff>
      <xdr:row>249</xdr:row>
      <xdr:rowOff>57150</xdr:rowOff>
    </xdr:from>
    <xdr:to>
      <xdr:col>3</xdr:col>
      <xdr:colOff>1779269</xdr:colOff>
      <xdr:row>251</xdr:row>
      <xdr:rowOff>85725</xdr:rowOff>
    </xdr:to>
    <xdr:sp macro="" textlink="">
      <xdr:nvSpPr>
        <xdr:cNvPr id="21" name="Pfeil nach unten 20"/>
        <xdr:cNvSpPr/>
      </xdr:nvSpPr>
      <xdr:spPr>
        <a:xfrm>
          <a:off x="6581775" y="33261300"/>
          <a:ext cx="45719" cy="352425"/>
        </a:xfrm>
        <a:prstGeom prst="down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609600</xdr:colOff>
      <xdr:row>260</xdr:row>
      <xdr:rowOff>152400</xdr:rowOff>
    </xdr:from>
    <xdr:to>
      <xdr:col>5</xdr:col>
      <xdr:colOff>371475</xdr:colOff>
      <xdr:row>264</xdr:row>
      <xdr:rowOff>104775</xdr:rowOff>
    </xdr:to>
    <xdr:sp macro="" textlink="">
      <xdr:nvSpPr>
        <xdr:cNvPr id="22" name="Ellipse 21"/>
        <xdr:cNvSpPr/>
      </xdr:nvSpPr>
      <xdr:spPr>
        <a:xfrm>
          <a:off x="7829550" y="35137725"/>
          <a:ext cx="685800" cy="6000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100"/>
            <a:t>Filter</a:t>
          </a:r>
        </a:p>
      </xdr:txBody>
    </xdr:sp>
    <xdr:clientData/>
  </xdr:twoCellAnchor>
  <xdr:twoCellAnchor>
    <xdr:from>
      <xdr:col>4</xdr:col>
      <xdr:colOff>219074</xdr:colOff>
      <xdr:row>262</xdr:row>
      <xdr:rowOff>76201</xdr:rowOff>
    </xdr:from>
    <xdr:to>
      <xdr:col>4</xdr:col>
      <xdr:colOff>590549</xdr:colOff>
      <xdr:row>262</xdr:row>
      <xdr:rowOff>142875</xdr:rowOff>
    </xdr:to>
    <xdr:sp macro="" textlink="">
      <xdr:nvSpPr>
        <xdr:cNvPr id="23" name="Pfeil nach rechts 22"/>
        <xdr:cNvSpPr/>
      </xdr:nvSpPr>
      <xdr:spPr>
        <a:xfrm>
          <a:off x="7439024" y="35385376"/>
          <a:ext cx="371475" cy="66674"/>
        </a:xfrm>
        <a:prstGeom prst="rightArrow">
          <a:avLst/>
        </a:prstGeom>
        <a:solidFill>
          <a:schemeClr val="accent2">
            <a:lumMod val="75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3</xdr:col>
      <xdr:colOff>2124074</xdr:colOff>
      <xdr:row>252</xdr:row>
      <xdr:rowOff>9525</xdr:rowOff>
    </xdr:from>
    <xdr:to>
      <xdr:col>5</xdr:col>
      <xdr:colOff>114299</xdr:colOff>
      <xdr:row>252</xdr:row>
      <xdr:rowOff>55244</xdr:rowOff>
    </xdr:to>
    <xdr:sp macro="" textlink="">
      <xdr:nvSpPr>
        <xdr:cNvPr id="24" name="Pfeil nach rechts 23"/>
        <xdr:cNvSpPr/>
      </xdr:nvSpPr>
      <xdr:spPr>
        <a:xfrm>
          <a:off x="6972299" y="33699450"/>
          <a:ext cx="1285875"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95250</xdr:colOff>
      <xdr:row>249</xdr:row>
      <xdr:rowOff>19050</xdr:rowOff>
    </xdr:from>
    <xdr:to>
      <xdr:col>5</xdr:col>
      <xdr:colOff>140969</xdr:colOff>
      <xdr:row>253</xdr:row>
      <xdr:rowOff>9525</xdr:rowOff>
    </xdr:to>
    <xdr:sp macro="" textlink="">
      <xdr:nvSpPr>
        <xdr:cNvPr id="25" name="Pfeil nach unten 24"/>
        <xdr:cNvSpPr/>
      </xdr:nvSpPr>
      <xdr:spPr>
        <a:xfrm>
          <a:off x="8239125" y="33223200"/>
          <a:ext cx="45719" cy="6381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57149</xdr:colOff>
      <xdr:row>2</xdr:row>
      <xdr:rowOff>152400</xdr:rowOff>
    </xdr:from>
    <xdr:to>
      <xdr:col>15</xdr:col>
      <xdr:colOff>895350</xdr:colOff>
      <xdr:row>13</xdr:row>
      <xdr:rowOff>57150</xdr:rowOff>
    </xdr:to>
    <xdr:graphicFrame macro="">
      <xdr:nvGraphicFramePr>
        <xdr:cNvPr id="13" name="Diagramm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123824</xdr:colOff>
      <xdr:row>31</xdr:row>
      <xdr:rowOff>28575</xdr:rowOff>
    </xdr:from>
    <xdr:to>
      <xdr:col>10</xdr:col>
      <xdr:colOff>666749</xdr:colOff>
      <xdr:row>44</xdr:row>
      <xdr:rowOff>57150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147</xdr:row>
      <xdr:rowOff>9525</xdr:rowOff>
    </xdr:from>
    <xdr:to>
      <xdr:col>18</xdr:col>
      <xdr:colOff>66675</xdr:colOff>
      <xdr:row>167</xdr:row>
      <xdr:rowOff>19050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295275</xdr:colOff>
      <xdr:row>199</xdr:row>
      <xdr:rowOff>38100</xdr:rowOff>
    </xdr:from>
    <xdr:to>
      <xdr:col>11</xdr:col>
      <xdr:colOff>315335</xdr:colOff>
      <xdr:row>230</xdr:row>
      <xdr:rowOff>76906</xdr:rowOff>
    </xdr:to>
    <xdr:pic>
      <xdr:nvPicPr>
        <xdr:cNvPr id="3" name="Grafik 2"/>
        <xdr:cNvPicPr>
          <a:picLocks noChangeAspect="1"/>
        </xdr:cNvPicPr>
      </xdr:nvPicPr>
      <xdr:blipFill>
        <a:blip xmlns:r="http://schemas.openxmlformats.org/officeDocument/2006/relationships" r:embed="rId2"/>
        <a:stretch>
          <a:fillRect/>
        </a:stretch>
      </xdr:blipFill>
      <xdr:spPr>
        <a:xfrm>
          <a:off x="3467100" y="33108900"/>
          <a:ext cx="7240010" cy="5058481"/>
        </a:xfrm>
        <a:prstGeom prst="rect">
          <a:avLst/>
        </a:prstGeom>
      </xdr:spPr>
    </xdr:pic>
    <xdr:clientData/>
  </xdr:twoCellAnchor>
  <xdr:twoCellAnchor>
    <xdr:from>
      <xdr:col>6</xdr:col>
      <xdr:colOff>500062</xdr:colOff>
      <xdr:row>184</xdr:row>
      <xdr:rowOff>9525</xdr:rowOff>
    </xdr:from>
    <xdr:to>
      <xdr:col>12</xdr:col>
      <xdr:colOff>319087</xdr:colOff>
      <xdr:row>201</xdr:row>
      <xdr:rowOff>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iel.obrist@admin.vs.ch" TargetMode="External"/><Relationship Id="rId2" Type="http://schemas.openxmlformats.org/officeDocument/2006/relationships/hyperlink" Target="mailto:lucie.fauquet@admin.vs.ch"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mailto:lukas.grauwiler@lu.ch"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B2:M106"/>
  <sheetViews>
    <sheetView showGridLines="0" showRowColHeaders="0" tabSelected="1" topLeftCell="A70" workbookViewId="0">
      <selection activeCell="J91" sqref="J91"/>
    </sheetView>
  </sheetViews>
  <sheetFormatPr baseColWidth="10" defaultColWidth="11.42578125" defaultRowHeight="12.75" x14ac:dyDescent="0.2"/>
  <cols>
    <col min="1" max="1" width="6" customWidth="1"/>
    <col min="2" max="3" width="20.7109375" customWidth="1"/>
    <col min="4" max="16" width="11.42578125" customWidth="1"/>
  </cols>
  <sheetData>
    <row r="2" spans="2:13" ht="18" x14ac:dyDescent="0.25">
      <c r="B2" s="1" t="s">
        <v>0</v>
      </c>
    </row>
    <row r="4" spans="2:13" x14ac:dyDescent="0.2">
      <c r="B4" s="2" t="s">
        <v>1</v>
      </c>
    </row>
    <row r="5" spans="2:13" x14ac:dyDescent="0.2">
      <c r="B5" s="3" t="s">
        <v>2</v>
      </c>
    </row>
    <row r="6" spans="2:13" x14ac:dyDescent="0.2">
      <c r="B6" s="3"/>
    </row>
    <row r="7" spans="2:13" ht="15.75" x14ac:dyDescent="0.25">
      <c r="B7" s="4" t="s">
        <v>921</v>
      </c>
    </row>
    <row r="8" spans="2:13" x14ac:dyDescent="0.2">
      <c r="B8" s="331" t="s">
        <v>961</v>
      </c>
      <c r="C8" s="76"/>
      <c r="D8" s="76"/>
      <c r="E8" s="76"/>
      <c r="F8" s="76"/>
      <c r="G8" s="76"/>
      <c r="H8" s="76"/>
      <c r="I8" s="76"/>
      <c r="J8" s="76"/>
      <c r="K8" s="76"/>
      <c r="L8" s="76"/>
      <c r="M8" s="76"/>
    </row>
    <row r="9" spans="2:13" ht="56.25" customHeight="1" x14ac:dyDescent="0.2">
      <c r="B9" s="887" t="s">
        <v>965</v>
      </c>
      <c r="C9" s="887"/>
      <c r="D9" s="887"/>
      <c r="E9" s="887"/>
      <c r="F9" s="887"/>
      <c r="G9" s="887"/>
      <c r="H9" s="887"/>
      <c r="I9" s="887"/>
      <c r="J9" s="887"/>
      <c r="K9" s="887"/>
      <c r="L9" s="887"/>
      <c r="M9" s="887"/>
    </row>
    <row r="10" spans="2:13" ht="39.950000000000003" customHeight="1" x14ac:dyDescent="0.2">
      <c r="B10" s="887" t="s">
        <v>960</v>
      </c>
      <c r="C10" s="887"/>
      <c r="D10" s="887"/>
      <c r="E10" s="887"/>
      <c r="F10" s="887"/>
      <c r="G10" s="887"/>
      <c r="H10" s="887"/>
      <c r="I10" s="887"/>
      <c r="J10" s="887"/>
      <c r="K10" s="887"/>
      <c r="L10" s="887"/>
      <c r="M10" s="887"/>
    </row>
    <row r="11" spans="2:13" ht="40.5" customHeight="1" x14ac:dyDescent="0.2">
      <c r="B11" s="887" t="s">
        <v>977</v>
      </c>
      <c r="C11" s="887"/>
      <c r="D11" s="887"/>
      <c r="E11" s="887"/>
      <c r="F11" s="887"/>
      <c r="G11" s="887"/>
      <c r="H11" s="887"/>
      <c r="I11" s="887"/>
      <c r="J11" s="887"/>
      <c r="K11" s="887"/>
      <c r="L11" s="887"/>
      <c r="M11" s="887"/>
    </row>
    <row r="12" spans="2:13" ht="27.75" customHeight="1" x14ac:dyDescent="0.2">
      <c r="B12" s="887" t="s">
        <v>962</v>
      </c>
      <c r="C12" s="887"/>
      <c r="D12" s="887"/>
      <c r="E12" s="887"/>
      <c r="F12" s="887"/>
      <c r="G12" s="887"/>
      <c r="H12" s="887"/>
      <c r="I12" s="887"/>
      <c r="J12" s="887"/>
      <c r="K12" s="887"/>
      <c r="L12" s="887"/>
      <c r="M12" s="887"/>
    </row>
    <row r="13" spans="2:13" ht="29.25" customHeight="1" x14ac:dyDescent="0.2">
      <c r="B13" s="887" t="s">
        <v>963</v>
      </c>
      <c r="C13" s="887"/>
      <c r="D13" s="887"/>
      <c r="E13" s="887"/>
      <c r="F13" s="887"/>
      <c r="G13" s="887"/>
      <c r="H13" s="887"/>
      <c r="I13" s="887"/>
      <c r="J13" s="887"/>
      <c r="K13" s="887"/>
      <c r="L13" s="887"/>
      <c r="M13" s="887"/>
    </row>
    <row r="14" spans="2:13" ht="38.25" customHeight="1" x14ac:dyDescent="0.2">
      <c r="B14" s="886" t="s">
        <v>964</v>
      </c>
      <c r="C14" s="886"/>
      <c r="D14" s="886"/>
      <c r="E14" s="886"/>
      <c r="F14" s="886"/>
      <c r="G14" s="886"/>
      <c r="H14" s="886"/>
      <c r="I14" s="886"/>
      <c r="J14" s="886"/>
      <c r="K14" s="886"/>
      <c r="L14" s="886"/>
      <c r="M14" s="886"/>
    </row>
    <row r="16" spans="2:13" ht="15.75" x14ac:dyDescent="0.25">
      <c r="B16" s="4" t="s">
        <v>922</v>
      </c>
      <c r="C16" s="2"/>
    </row>
    <row r="17" spans="2:3" x14ac:dyDescent="0.2">
      <c r="B17" s="2" t="s">
        <v>923</v>
      </c>
    </row>
    <row r="18" spans="2:3" x14ac:dyDescent="0.2">
      <c r="B18" s="2" t="s">
        <v>925</v>
      </c>
    </row>
    <row r="19" spans="2:3" x14ac:dyDescent="0.2">
      <c r="B19" s="2" t="s">
        <v>924</v>
      </c>
    </row>
    <row r="20" spans="2:3" x14ac:dyDescent="0.2">
      <c r="B20" s="2" t="s">
        <v>927</v>
      </c>
    </row>
    <row r="21" spans="2:3" x14ac:dyDescent="0.2">
      <c r="B21" t="s">
        <v>926</v>
      </c>
    </row>
    <row r="23" spans="2:3" ht="15.75" x14ac:dyDescent="0.25">
      <c r="B23" s="4" t="s">
        <v>929</v>
      </c>
    </row>
    <row r="24" spans="2:3" x14ac:dyDescent="0.2">
      <c r="B24" s="2" t="s">
        <v>3</v>
      </c>
    </row>
    <row r="25" spans="2:3" x14ac:dyDescent="0.2">
      <c r="C25" s="2" t="s">
        <v>4</v>
      </c>
    </row>
    <row r="26" spans="2:3" x14ac:dyDescent="0.2">
      <c r="C26" s="2" t="s">
        <v>5</v>
      </c>
    </row>
    <row r="27" spans="2:3" x14ac:dyDescent="0.2">
      <c r="C27" s="2" t="s">
        <v>6</v>
      </c>
    </row>
    <row r="28" spans="2:3" x14ac:dyDescent="0.2">
      <c r="C28" s="2" t="s">
        <v>7</v>
      </c>
    </row>
    <row r="30" spans="2:3" ht="15.75" x14ac:dyDescent="0.25">
      <c r="B30" s="4" t="s">
        <v>8</v>
      </c>
    </row>
    <row r="31" spans="2:3" x14ac:dyDescent="0.2">
      <c r="B31" s="2" t="s">
        <v>967</v>
      </c>
    </row>
    <row r="32" spans="2:3" x14ac:dyDescent="0.2">
      <c r="B32" s="2" t="s">
        <v>9</v>
      </c>
    </row>
    <row r="33" spans="2:2" x14ac:dyDescent="0.2">
      <c r="B33" s="2" t="s">
        <v>928</v>
      </c>
    </row>
    <row r="34" spans="2:2" x14ac:dyDescent="0.2">
      <c r="B34" s="2" t="s">
        <v>966</v>
      </c>
    </row>
    <row r="35" spans="2:2" x14ac:dyDescent="0.2">
      <c r="B35" s="2" t="s">
        <v>975</v>
      </c>
    </row>
    <row r="37" spans="2:2" ht="15.75" x14ac:dyDescent="0.25">
      <c r="B37" s="4" t="s">
        <v>930</v>
      </c>
    </row>
    <row r="38" spans="2:2" x14ac:dyDescent="0.2">
      <c r="B38" s="2" t="s">
        <v>978</v>
      </c>
    </row>
    <row r="39" spans="2:2" x14ac:dyDescent="0.2">
      <c r="B39" s="2" t="s">
        <v>10</v>
      </c>
    </row>
    <row r="40" spans="2:2" x14ac:dyDescent="0.2">
      <c r="B40" s="2" t="s">
        <v>11</v>
      </c>
    </row>
    <row r="41" spans="2:2" x14ac:dyDescent="0.2">
      <c r="B41" s="2" t="s">
        <v>12</v>
      </c>
    </row>
    <row r="43" spans="2:2" ht="15.75" x14ac:dyDescent="0.25">
      <c r="B43" s="4" t="s">
        <v>931</v>
      </c>
    </row>
    <row r="44" spans="2:2" x14ac:dyDescent="0.2">
      <c r="B44" t="s">
        <v>944</v>
      </c>
    </row>
    <row r="45" spans="2:2" x14ac:dyDescent="0.2">
      <c r="B45" t="s">
        <v>945</v>
      </c>
    </row>
    <row r="46" spans="2:2" x14ac:dyDescent="0.2">
      <c r="B46" s="2" t="s">
        <v>13</v>
      </c>
    </row>
    <row r="47" spans="2:2" x14ac:dyDescent="0.2">
      <c r="B47" s="2" t="s">
        <v>14</v>
      </c>
    </row>
    <row r="49" spans="2:10" ht="15.75" x14ac:dyDescent="0.25">
      <c r="B49" s="4" t="s">
        <v>932</v>
      </c>
    </row>
    <row r="50" spans="2:10" s="15" customFormat="1" ht="12.75" customHeight="1" x14ac:dyDescent="0.2">
      <c r="B50" s="770" t="s">
        <v>954</v>
      </c>
      <c r="C50" s="770"/>
      <c r="D50" s="770"/>
      <c r="E50" s="770"/>
      <c r="F50" s="770"/>
      <c r="G50" s="770"/>
      <c r="H50" s="770"/>
      <c r="I50" s="770"/>
      <c r="J50" s="770"/>
    </row>
    <row r="51" spans="2:10" s="15" customFormat="1" ht="12.75" customHeight="1" x14ac:dyDescent="0.2">
      <c r="B51" s="770" t="s">
        <v>955</v>
      </c>
      <c r="C51" s="770"/>
      <c r="D51" s="770"/>
      <c r="E51" s="770"/>
      <c r="F51" s="770"/>
      <c r="G51" s="770"/>
      <c r="H51" s="770"/>
      <c r="I51" s="770"/>
      <c r="J51" s="770"/>
    </row>
    <row r="52" spans="2:10" x14ac:dyDescent="0.2">
      <c r="B52" s="2" t="s">
        <v>15</v>
      </c>
    </row>
    <row r="53" spans="2:10" x14ac:dyDescent="0.2">
      <c r="B53" s="2" t="s">
        <v>16</v>
      </c>
    </row>
    <row r="54" spans="2:10" x14ac:dyDescent="0.2">
      <c r="B54" s="2" t="s">
        <v>17</v>
      </c>
    </row>
    <row r="57" spans="2:10" ht="18" x14ac:dyDescent="0.25">
      <c r="B57" s="1" t="s">
        <v>18</v>
      </c>
    </row>
    <row r="59" spans="2:10" ht="15.75" x14ac:dyDescent="0.25">
      <c r="B59" s="4" t="s">
        <v>932</v>
      </c>
    </row>
    <row r="60" spans="2:10" x14ac:dyDescent="0.2">
      <c r="B60" s="2" t="s">
        <v>19</v>
      </c>
    </row>
    <row r="62" spans="2:10" ht="15.75" x14ac:dyDescent="0.25">
      <c r="B62" s="4" t="s">
        <v>933</v>
      </c>
    </row>
    <row r="63" spans="2:10" x14ac:dyDescent="0.2">
      <c r="B63" s="2" t="s">
        <v>20</v>
      </c>
    </row>
    <row r="64" spans="2:10" x14ac:dyDescent="0.2">
      <c r="B64" s="2" t="s">
        <v>21</v>
      </c>
    </row>
    <row r="66" spans="2:4" ht="15.75" x14ac:dyDescent="0.25">
      <c r="B66" s="4" t="s">
        <v>934</v>
      </c>
    </row>
    <row r="67" spans="2:4" x14ac:dyDescent="0.2">
      <c r="B67" s="2" t="s">
        <v>22</v>
      </c>
    </row>
    <row r="69" spans="2:4" ht="18" x14ac:dyDescent="0.25">
      <c r="B69" s="1" t="s">
        <v>23</v>
      </c>
    </row>
    <row r="70" spans="2:4" x14ac:dyDescent="0.2">
      <c r="B70" s="2" t="s">
        <v>24</v>
      </c>
    </row>
    <row r="71" spans="2:4" x14ac:dyDescent="0.2">
      <c r="B71" s="2" t="s">
        <v>25</v>
      </c>
    </row>
    <row r="72" spans="2:4" x14ac:dyDescent="0.2">
      <c r="B72" s="2" t="s">
        <v>26</v>
      </c>
    </row>
    <row r="73" spans="2:4" x14ac:dyDescent="0.2">
      <c r="B73" s="2"/>
    </row>
    <row r="74" spans="2:4" ht="18" x14ac:dyDescent="0.25">
      <c r="B74" s="1" t="s">
        <v>935</v>
      </c>
    </row>
    <row r="76" spans="2:4" x14ac:dyDescent="0.2">
      <c r="B76" t="s">
        <v>28</v>
      </c>
    </row>
    <row r="77" spans="2:4" x14ac:dyDescent="0.2">
      <c r="B77" s="2" t="s">
        <v>29</v>
      </c>
    </row>
    <row r="78" spans="2:4" x14ac:dyDescent="0.2">
      <c r="B78" s="2" t="s">
        <v>27</v>
      </c>
    </row>
    <row r="79" spans="2:4" x14ac:dyDescent="0.2">
      <c r="B79" s="2" t="s">
        <v>30</v>
      </c>
    </row>
    <row r="80" spans="2:4" x14ac:dyDescent="0.2">
      <c r="B80" s="2" t="s">
        <v>31</v>
      </c>
      <c r="D80" s="882" t="s">
        <v>1374</v>
      </c>
    </row>
    <row r="81" spans="2:3" x14ac:dyDescent="0.2">
      <c r="B81" s="877" t="s">
        <v>1349</v>
      </c>
    </row>
    <row r="83" spans="2:3" ht="18" x14ac:dyDescent="0.25">
      <c r="B83" s="1" t="s">
        <v>1350</v>
      </c>
    </row>
    <row r="85" spans="2:3" x14ac:dyDescent="0.2">
      <c r="B85" t="s">
        <v>1373</v>
      </c>
    </row>
    <row r="87" spans="2:3" ht="20.25" customHeight="1" thickBot="1" x14ac:dyDescent="0.25">
      <c r="B87" s="883" t="s">
        <v>1351</v>
      </c>
      <c r="C87" s="884" t="s">
        <v>1352</v>
      </c>
    </row>
    <row r="88" spans="2:3" ht="19.5" customHeight="1" x14ac:dyDescent="0.2">
      <c r="B88" s="889" t="s">
        <v>1353</v>
      </c>
      <c r="C88" s="889"/>
    </row>
    <row r="89" spans="2:3" ht="12.75" customHeight="1" x14ac:dyDescent="0.2">
      <c r="B89" s="890" t="s">
        <v>1354</v>
      </c>
      <c r="C89" s="890"/>
    </row>
    <row r="90" spans="2:3" ht="12.75" customHeight="1" x14ac:dyDescent="0.2">
      <c r="B90" s="890" t="s">
        <v>1355</v>
      </c>
      <c r="C90" s="890"/>
    </row>
    <row r="91" spans="2:3" ht="12.75" customHeight="1" x14ac:dyDescent="0.2">
      <c r="B91" s="890" t="s">
        <v>1356</v>
      </c>
      <c r="C91" s="890"/>
    </row>
    <row r="92" spans="2:3" x14ac:dyDescent="0.2">
      <c r="B92" s="890" t="s">
        <v>1357</v>
      </c>
      <c r="C92" s="890"/>
    </row>
    <row r="93" spans="2:3" x14ac:dyDescent="0.2">
      <c r="B93" s="885" t="s">
        <v>1358</v>
      </c>
      <c r="C93" s="885" t="s">
        <v>1359</v>
      </c>
    </row>
    <row r="94" spans="2:3" x14ac:dyDescent="0.2">
      <c r="B94" s="885" t="s">
        <v>1360</v>
      </c>
      <c r="C94" s="885" t="s">
        <v>1361</v>
      </c>
    </row>
    <row r="95" spans="2:3" x14ac:dyDescent="0.2">
      <c r="B95" t="s">
        <v>1362</v>
      </c>
      <c r="C95" s="882" t="s">
        <v>1363</v>
      </c>
    </row>
    <row r="97" spans="2:3" x14ac:dyDescent="0.2">
      <c r="B97" s="878"/>
    </row>
    <row r="98" spans="2:3" ht="13.5" thickBot="1" x14ac:dyDescent="0.25">
      <c r="B98" s="879" t="s">
        <v>1364</v>
      </c>
    </row>
    <row r="99" spans="2:3" ht="19.5" customHeight="1" x14ac:dyDescent="0.2">
      <c r="B99" s="888" t="s">
        <v>1365</v>
      </c>
      <c r="C99" s="888"/>
    </row>
    <row r="100" spans="2:3" x14ac:dyDescent="0.2">
      <c r="B100" s="880" t="s">
        <v>1366</v>
      </c>
    </row>
    <row r="101" spans="2:3" x14ac:dyDescent="0.2">
      <c r="B101" s="880" t="s">
        <v>1367</v>
      </c>
    </row>
    <row r="102" spans="2:3" x14ac:dyDescent="0.2">
      <c r="B102" s="880" t="s">
        <v>1356</v>
      </c>
    </row>
    <row r="103" spans="2:3" x14ac:dyDescent="0.2">
      <c r="B103" s="880" t="s">
        <v>1368</v>
      </c>
    </row>
    <row r="104" spans="2:3" x14ac:dyDescent="0.2">
      <c r="B104" s="880" t="s">
        <v>476</v>
      </c>
      <c r="C104" s="881" t="s">
        <v>1371</v>
      </c>
    </row>
    <row r="105" spans="2:3" x14ac:dyDescent="0.2">
      <c r="B105" s="880" t="s">
        <v>1370</v>
      </c>
      <c r="C105" s="881" t="s">
        <v>1372</v>
      </c>
    </row>
    <row r="106" spans="2:3" x14ac:dyDescent="0.2">
      <c r="B106" t="s">
        <v>1362</v>
      </c>
      <c r="C106" s="882" t="s">
        <v>1369</v>
      </c>
    </row>
  </sheetData>
  <sheetProtection algorithmName="SHA-512" hashValue="7xm2TBtwJECpL2EmWbsykhDTh+5S41itB1I5Yyf/pWVxKpXGnw2d+Pdqd04eXiXx8cpCqGtX/y8wSe0PPzZTUQ==" saltValue="NMVzCVFx5oClyemWJaYX2Q==" spinCount="100000" sheet="1" objects="1" scenarios="1"/>
  <customSheetViews>
    <customSheetView guid="{2A376E74-9008-4CC4-AF78-5E9088D4FA1D}" showGridLines="0" showRowCol="0">
      <pageMargins left="0.7" right="0.7" top="0.78740157499999996" bottom="0.78740157499999996" header="0.3" footer="0.3"/>
      <pageSetup paperSize="9" orientation="portrait" horizontalDpi="4294967293" verticalDpi="0" r:id="rId1"/>
    </customSheetView>
  </customSheetViews>
  <mergeCells count="12">
    <mergeCell ref="B99:C99"/>
    <mergeCell ref="B88:C88"/>
    <mergeCell ref="B89:C89"/>
    <mergeCell ref="B90:C90"/>
    <mergeCell ref="B91:C91"/>
    <mergeCell ref="B92:C92"/>
    <mergeCell ref="B14:M14"/>
    <mergeCell ref="B9:M9"/>
    <mergeCell ref="B10:M10"/>
    <mergeCell ref="B11:M11"/>
    <mergeCell ref="B12:M12"/>
    <mergeCell ref="B13:M13"/>
  </mergeCells>
  <hyperlinks>
    <hyperlink ref="C95" r:id="rId2" display="mailto:lucie.fauquet@admin.vs.ch"/>
    <hyperlink ref="C106" r:id="rId3" display="mailto:daniel.obrist@admin.vs.ch"/>
    <hyperlink ref="D80" r:id="rId4"/>
  </hyperlinks>
  <pageMargins left="0.7" right="0.7" top="0.78740157499999996" bottom="0.78740157499999996" header="0.3" footer="0.3"/>
  <pageSetup paperSize="9" orientation="portrait" horizontalDpi="4294967293" verticalDpi="0"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T154"/>
  <sheetViews>
    <sheetView showGridLines="0" showRowColHeaders="0" topLeftCell="A85" zoomScaleNormal="100" workbookViewId="0"/>
  </sheetViews>
  <sheetFormatPr baseColWidth="10" defaultColWidth="0" defaultRowHeight="12.75" zeroHeight="1" x14ac:dyDescent="0.2"/>
  <cols>
    <col min="1" max="1" width="15.7109375" style="287" customWidth="1"/>
    <col min="2" max="2" width="48.42578125" style="220" hidden="1" customWidth="1"/>
    <col min="3" max="3" width="9.7109375" style="220" hidden="1" customWidth="1"/>
    <col min="4" max="4" width="2.7109375" style="220" customWidth="1"/>
    <col min="5" max="5" width="2.7109375" style="221" customWidth="1"/>
    <col min="6" max="6" width="15.7109375" style="221" customWidth="1"/>
    <col min="7" max="8" width="18.7109375" style="221" customWidth="1"/>
    <col min="9" max="9" width="19.7109375" style="221" customWidth="1"/>
    <col min="10" max="10" width="15.7109375" style="221" customWidth="1"/>
    <col min="11" max="11" width="4.42578125" style="221" customWidth="1"/>
    <col min="12" max="12" width="17.42578125" style="221" customWidth="1"/>
    <col min="13" max="13" width="19.5703125" style="221" customWidth="1"/>
    <col min="14" max="14" width="20.7109375" style="221" customWidth="1"/>
    <col min="15" max="16" width="2.7109375" style="221" customWidth="1"/>
    <col min="17" max="17" width="15.7109375" style="287" customWidth="1"/>
    <col min="18" max="16384" width="11.42578125" style="221" hidden="1"/>
  </cols>
  <sheetData>
    <row r="1" spans="2:16" ht="15" customHeight="1" x14ac:dyDescent="0.2">
      <c r="D1" s="264"/>
      <c r="E1" s="253"/>
      <c r="F1" s="253"/>
      <c r="G1" s="253"/>
      <c r="H1" s="253"/>
      <c r="I1" s="253"/>
      <c r="J1" s="253"/>
      <c r="K1" s="253"/>
      <c r="L1" s="253"/>
      <c r="M1" s="253"/>
      <c r="N1" s="253"/>
      <c r="O1" s="253"/>
      <c r="P1" s="253"/>
    </row>
    <row r="2" spans="2:16" ht="20.25" x14ac:dyDescent="0.3">
      <c r="D2" s="264"/>
      <c r="E2" s="253"/>
      <c r="F2" s="253"/>
      <c r="G2" s="940" t="str">
        <f>INDEX(Texte,1,$N$2)</f>
        <v>Abschätzung der Gewässerbelastung durch Fischzuchtanlagen</v>
      </c>
      <c r="H2" s="940"/>
      <c r="I2" s="940"/>
      <c r="J2" s="940"/>
      <c r="K2" s="940"/>
      <c r="L2" s="940"/>
      <c r="M2" s="940"/>
      <c r="N2" s="852">
        <v>1</v>
      </c>
      <c r="O2" s="253"/>
      <c r="P2" s="253"/>
    </row>
    <row r="3" spans="2:16" ht="15" customHeight="1" x14ac:dyDescent="0.2">
      <c r="D3" s="264"/>
      <c r="E3" s="253"/>
      <c r="F3" s="253"/>
      <c r="G3" s="253"/>
      <c r="H3" s="253"/>
      <c r="I3" s="253"/>
      <c r="J3" s="253"/>
      <c r="K3" s="253"/>
      <c r="L3" s="253"/>
      <c r="M3" s="253"/>
      <c r="N3" s="253"/>
      <c r="O3" s="253"/>
      <c r="P3" s="253"/>
    </row>
    <row r="4" spans="2:16" ht="15" customHeight="1" thickBot="1" x14ac:dyDescent="0.3">
      <c r="B4" s="222" t="s">
        <v>508</v>
      </c>
      <c r="D4" s="264"/>
      <c r="E4" s="253"/>
      <c r="F4" s="254" t="str">
        <f>INDEX(Texte,2,$N$2)</f>
        <v>1. Adresse:</v>
      </c>
      <c r="G4" s="253"/>
      <c r="H4" s="253"/>
      <c r="I4" s="253"/>
      <c r="J4" s="253"/>
      <c r="K4" s="253"/>
      <c r="L4" s="253"/>
      <c r="M4" s="253"/>
      <c r="N4" s="253"/>
      <c r="O4" s="253"/>
      <c r="P4" s="253"/>
    </row>
    <row r="5" spans="2:16" ht="15" customHeight="1" x14ac:dyDescent="0.2">
      <c r="B5" s="223" t="s">
        <v>698</v>
      </c>
      <c r="D5" s="264"/>
      <c r="E5" s="253"/>
      <c r="F5" s="253"/>
      <c r="G5" s="253"/>
      <c r="H5" s="253"/>
      <c r="I5" s="253"/>
      <c r="J5" s="253"/>
      <c r="K5" s="253"/>
      <c r="L5" s="843" t="str">
        <f>INDEX(Texte,11,$N$2)</f>
        <v>Legende</v>
      </c>
      <c r="M5" s="260"/>
      <c r="N5" s="261"/>
      <c r="O5" s="253"/>
      <c r="P5" s="253"/>
    </row>
    <row r="6" spans="2:16" ht="15" customHeight="1" x14ac:dyDescent="0.2">
      <c r="C6" s="223">
        <f>IF(G6&gt;"",1,0)</f>
        <v>0</v>
      </c>
      <c r="D6" s="264"/>
      <c r="E6" s="253"/>
      <c r="F6" s="255" t="str">
        <f>INDEX(Texte,3,$N$2)</f>
        <v>Name:</v>
      </c>
      <c r="G6" s="956"/>
      <c r="H6" s="957"/>
      <c r="I6" s="257"/>
      <c r="J6" s="257"/>
      <c r="K6" s="257"/>
      <c r="L6" s="225"/>
      <c r="M6" s="262" t="str">
        <f>INDEX(Texte,12,$N$2)</f>
        <v>diese Felder müssen ausgefüllt werden</v>
      </c>
      <c r="N6" s="274"/>
      <c r="O6" s="253"/>
      <c r="P6" s="253"/>
    </row>
    <row r="7" spans="2:16" ht="15" customHeight="1" x14ac:dyDescent="0.2">
      <c r="C7" s="223">
        <f>IF(G7&gt;"",1,0)</f>
        <v>0</v>
      </c>
      <c r="D7" s="264"/>
      <c r="E7" s="253"/>
      <c r="F7" s="255" t="str">
        <f>INDEX(Texte,4,$N$2)</f>
        <v>Strasse:</v>
      </c>
      <c r="G7" s="956"/>
      <c r="H7" s="957"/>
      <c r="I7" s="257"/>
      <c r="J7" s="257"/>
      <c r="K7" s="257"/>
      <c r="L7" s="853"/>
      <c r="M7" s="262" t="str">
        <f>INDEX(Texte,13,$N$2)</f>
        <v>diese Felder haben eine Auswahlliste</v>
      </c>
      <c r="N7" s="274"/>
      <c r="O7" s="253"/>
      <c r="P7" s="253"/>
    </row>
    <row r="8" spans="2:16" ht="15" customHeight="1" x14ac:dyDescent="0.2">
      <c r="C8" s="223">
        <f>IF(G8&gt;0,IF(I8&gt;"",2,1),0)</f>
        <v>0</v>
      </c>
      <c r="D8" s="264"/>
      <c r="E8" s="253"/>
      <c r="F8" s="255" t="str">
        <f>INDEX(Texte,5,$N$2)</f>
        <v>PLZ:</v>
      </c>
      <c r="G8" s="226"/>
      <c r="H8" s="255" t="str">
        <f>INDEX(Texte,6,$N$2)</f>
        <v>Ort:</v>
      </c>
      <c r="I8" s="956"/>
      <c r="J8" s="957"/>
      <c r="K8" s="258"/>
      <c r="L8" s="227"/>
      <c r="M8" s="262" t="str">
        <f>INDEX(Texte,15,$N$2)</f>
        <v>diese Felder können ausgefüllt werden</v>
      </c>
      <c r="N8" s="274"/>
      <c r="O8" s="253"/>
      <c r="P8" s="253"/>
    </row>
    <row r="9" spans="2:16" ht="15" customHeight="1" x14ac:dyDescent="0.2">
      <c r="C9" s="223">
        <f>IF(G9&gt;"",1,0)</f>
        <v>0</v>
      </c>
      <c r="D9" s="264"/>
      <c r="E9" s="253"/>
      <c r="F9" s="255" t="str">
        <f>INDEX(Texte,7,$N$2)</f>
        <v>Tel.</v>
      </c>
      <c r="G9" s="228"/>
      <c r="H9" s="255" t="str">
        <f>INDEX(Texte,8,$N$2)</f>
        <v>Handy:</v>
      </c>
      <c r="I9" s="229"/>
      <c r="J9" s="257"/>
      <c r="K9" s="257"/>
      <c r="L9" s="230"/>
      <c r="M9" s="262" t="str">
        <f>INDEX(Texte,16,$N$2)</f>
        <v>Erläuterungen oder Berechnungsresultate</v>
      </c>
      <c r="N9" s="274"/>
      <c r="O9" s="253"/>
      <c r="P9" s="253"/>
    </row>
    <row r="10" spans="2:16" ht="15" customHeight="1" thickBot="1" x14ac:dyDescent="0.25">
      <c r="C10" s="223">
        <f>IF(G10&gt;"",1,0)</f>
        <v>0</v>
      </c>
      <c r="D10" s="264"/>
      <c r="E10" s="253"/>
      <c r="F10" s="255" t="str">
        <f>INDEX(Texte,9,$N$2)</f>
        <v>Standort Anlage:</v>
      </c>
      <c r="G10" s="958"/>
      <c r="H10" s="959"/>
      <c r="I10" s="959"/>
      <c r="J10" s="960"/>
      <c r="K10" s="259"/>
      <c r="L10" s="231"/>
      <c r="M10" s="262" t="str">
        <f>INDEX(Texte,17,$N$2)</f>
        <v>zusätzliche Auflagen</v>
      </c>
      <c r="N10" s="274"/>
      <c r="O10" s="253"/>
      <c r="P10" s="253"/>
    </row>
    <row r="11" spans="2:16" ht="15" customHeight="1" thickBot="1" x14ac:dyDescent="0.25">
      <c r="B11" s="826" t="s">
        <v>1026</v>
      </c>
      <c r="C11" s="826">
        <f>IFERROR(MATCH(G11,EZSee,0),0)</f>
        <v>1</v>
      </c>
      <c r="D11" s="264"/>
      <c r="E11" s="253"/>
      <c r="F11" s="255" t="str">
        <f>INDEX(Texte,10,$N$2)</f>
        <v>Seeeinzugsgebiet:</v>
      </c>
      <c r="G11" s="966" t="str">
        <f>INDEX(EZSee,C14,1)</f>
        <v>nicht im Einzugsgebiet der Mittellandseen des Kantons LU</v>
      </c>
      <c r="H11" s="967"/>
      <c r="I11" s="967"/>
      <c r="J11" s="827"/>
      <c r="K11" s="259"/>
      <c r="L11" s="233"/>
      <c r="M11" s="263" t="str">
        <f>INDEX(Texte,18,$N$2)</f>
        <v>Hinweise</v>
      </c>
      <c r="N11" s="275"/>
      <c r="O11" s="253"/>
      <c r="P11" s="253"/>
    </row>
    <row r="12" spans="2:16" ht="15" customHeight="1" thickBot="1" x14ac:dyDescent="0.25">
      <c r="B12" s="223" t="s">
        <v>1004</v>
      </c>
      <c r="C12" s="232">
        <f>SUM(C6:C11)</f>
        <v>1</v>
      </c>
      <c r="D12" s="264"/>
      <c r="E12" s="253"/>
      <c r="F12" s="256"/>
      <c r="G12" s="968" t="str">
        <f>INDEX(Texte,22,$N$2)</f>
        <v>ist eine P-Fällung nötig ab kg/Jahr:</v>
      </c>
      <c r="H12" s="969"/>
      <c r="I12" s="969"/>
      <c r="J12" s="828">
        <f>INDEX(P_See,C11,3)</f>
        <v>0</v>
      </c>
      <c r="K12" s="259"/>
      <c r="L12" s="281">
        <f>INDEX(Texte,14,$N$2)</f>
        <v>0</v>
      </c>
      <c r="M12" s="281"/>
      <c r="N12" s="824"/>
      <c r="O12" s="253"/>
      <c r="P12" s="253"/>
    </row>
    <row r="13" spans="2:16" ht="15" customHeight="1" x14ac:dyDescent="0.2">
      <c r="B13" s="223"/>
      <c r="C13" s="232"/>
      <c r="D13" s="264"/>
      <c r="E13" s="253"/>
      <c r="F13" s="256"/>
      <c r="G13" s="961" t="str">
        <f>INDEX(Texte,23,$N$2)</f>
        <v>Es sind noch nicht alle Muss-Felder ausgefüllt</v>
      </c>
      <c r="H13" s="961"/>
      <c r="I13" s="961"/>
      <c r="J13" s="961"/>
      <c r="K13" s="259"/>
      <c r="L13" s="273"/>
      <c r="M13" s="281"/>
      <c r="N13" s="824"/>
      <c r="O13" s="253"/>
      <c r="P13" s="253"/>
    </row>
    <row r="14" spans="2:16" ht="13.5" customHeight="1" thickBot="1" x14ac:dyDescent="0.25">
      <c r="B14" s="220" t="s">
        <v>1260</v>
      </c>
      <c r="C14" s="857">
        <v>1</v>
      </c>
      <c r="D14" s="253"/>
      <c r="E14" s="253"/>
      <c r="F14" s="253"/>
      <c r="G14" s="253"/>
      <c r="H14" s="253"/>
      <c r="I14" s="253"/>
      <c r="J14" s="253"/>
      <c r="K14" s="253"/>
      <c r="L14" s="253"/>
      <c r="M14" s="253"/>
      <c r="N14" s="253"/>
      <c r="O14" s="253"/>
      <c r="P14" s="253"/>
    </row>
    <row r="15" spans="2:16" ht="13.5" customHeight="1" thickTop="1" x14ac:dyDescent="0.2">
      <c r="D15" s="285"/>
      <c r="E15" s="277"/>
      <c r="F15" s="277"/>
      <c r="G15" s="277"/>
      <c r="H15" s="277"/>
      <c r="I15" s="277"/>
      <c r="J15" s="277"/>
      <c r="K15" s="277"/>
      <c r="L15" s="278"/>
      <c r="M15" s="277"/>
      <c r="N15" s="277"/>
      <c r="O15" s="277"/>
      <c r="P15" s="277"/>
    </row>
    <row r="16" spans="2:16" ht="15" customHeight="1" x14ac:dyDescent="0.25">
      <c r="D16" s="264"/>
      <c r="E16" s="253"/>
      <c r="F16" s="254" t="str">
        <f>INDEX(Texte,24,$N$2)</f>
        <v>2. Angaben zur Anlage</v>
      </c>
      <c r="G16" s="253"/>
      <c r="H16" s="253"/>
      <c r="I16" s="253"/>
      <c r="J16" s="253"/>
      <c r="K16" s="253"/>
      <c r="L16" s="253"/>
      <c r="M16" s="253"/>
      <c r="N16" s="253"/>
      <c r="O16" s="253"/>
      <c r="P16" s="253"/>
    </row>
    <row r="17" spans="2:20" ht="15" customHeight="1" x14ac:dyDescent="0.2">
      <c r="D17" s="264"/>
      <c r="E17" s="253"/>
      <c r="F17" s="253"/>
      <c r="G17" s="253"/>
      <c r="H17" s="253"/>
      <c r="I17" s="253"/>
      <c r="J17" s="253"/>
      <c r="K17" s="253"/>
      <c r="L17" s="253"/>
      <c r="M17" s="253"/>
      <c r="N17" s="253"/>
      <c r="O17" s="253"/>
      <c r="P17" s="253"/>
    </row>
    <row r="18" spans="2:20" ht="36.950000000000003" customHeight="1" x14ac:dyDescent="0.2">
      <c r="B18" s="234" t="s">
        <v>515</v>
      </c>
      <c r="C18" s="234">
        <f>VLOOKUP(G18,Anlagetext,10)</f>
        <v>3</v>
      </c>
      <c r="D18" s="264"/>
      <c r="E18" s="253"/>
      <c r="F18" s="276" t="str">
        <f>INDEX(Texte,25,$N$2)</f>
        <v>Anlagetyp auswählen :</v>
      </c>
      <c r="G18" s="973" t="str">
        <f>INDEX(Anlagetyp,C19,1)</f>
        <v>c) Kreislaufanlage</v>
      </c>
      <c r="H18" s="974"/>
      <c r="I18" s="975" t="str">
        <f>VLOOKUP(G18,Anlagetext,2)</f>
        <v>Anlagen mit Behältersystemen in denen das Wasser im Kreislauf geführt wird, mit Biofiltern inkl. Denitrifikation zur Wasseraufbereitung. Die Feststoffabtrennung und -Entwässerung wird automatisch berücksichtigt</v>
      </c>
      <c r="J18" s="975"/>
      <c r="K18" s="975"/>
      <c r="L18" s="975"/>
      <c r="M18" s="975"/>
      <c r="N18" s="975"/>
      <c r="O18" s="253"/>
      <c r="P18" s="253"/>
    </row>
    <row r="19" spans="2:20" ht="36.950000000000003" customHeight="1" x14ac:dyDescent="0.2">
      <c r="B19" s="220" t="s">
        <v>1261</v>
      </c>
      <c r="C19" s="857">
        <v>3</v>
      </c>
      <c r="D19" s="264"/>
      <c r="E19" s="253"/>
      <c r="F19" s="276" t="str">
        <f>INDEX(Texte,35,$N$2)</f>
        <v>Zuchtart auswählen:</v>
      </c>
      <c r="G19" s="980" t="str">
        <f>INDEX(Zuchtart,C20,1)</f>
        <v>Kommerzielle Zucht</v>
      </c>
      <c r="H19" s="981"/>
      <c r="I19" s="976" t="str">
        <f>VLOOKUP(G19,Zuchttext,2)</f>
        <v>Die Betreiber von kommerziellen Fischzuchten müssen entsprechende Ausbildungskurse besuchen.</v>
      </c>
      <c r="J19" s="976"/>
      <c r="K19" s="976"/>
      <c r="L19" s="976"/>
      <c r="M19" s="976"/>
      <c r="N19" s="976"/>
      <c r="O19" s="253"/>
      <c r="P19" s="253"/>
    </row>
    <row r="20" spans="2:20" ht="36.950000000000003" customHeight="1" x14ac:dyDescent="0.2">
      <c r="B20" s="220" t="s">
        <v>1262</v>
      </c>
      <c r="C20" s="857">
        <v>1</v>
      </c>
      <c r="D20" s="264"/>
      <c r="E20" s="253"/>
      <c r="F20" s="253"/>
      <c r="G20" s="253"/>
      <c r="H20" s="264"/>
      <c r="I20" s="962" t="str">
        <f>VLOOKUP(G18,Anlagetext,4)</f>
        <v/>
      </c>
      <c r="J20" s="963"/>
      <c r="K20" s="963"/>
      <c r="L20" s="963"/>
      <c r="M20" s="963"/>
      <c r="N20" s="964"/>
      <c r="O20" s="253"/>
      <c r="P20" s="253"/>
    </row>
    <row r="21" spans="2:20" ht="13.5" customHeight="1" thickBot="1" x14ac:dyDescent="0.25">
      <c r="D21" s="264"/>
      <c r="E21" s="253"/>
      <c r="F21" s="253"/>
      <c r="G21" s="253"/>
      <c r="H21" s="264"/>
      <c r="I21" s="265"/>
      <c r="J21" s="266"/>
      <c r="K21" s="266"/>
      <c r="L21" s="266"/>
      <c r="M21" s="266"/>
      <c r="N21" s="266"/>
      <c r="O21" s="253"/>
      <c r="P21" s="253"/>
    </row>
    <row r="22" spans="2:20" ht="13.5" customHeight="1" thickTop="1" x14ac:dyDescent="0.2">
      <c r="D22" s="285"/>
      <c r="E22" s="277"/>
      <c r="F22" s="277"/>
      <c r="G22" s="277"/>
      <c r="H22" s="277"/>
      <c r="I22" s="277"/>
      <c r="J22" s="277"/>
      <c r="K22" s="277"/>
      <c r="L22" s="277"/>
      <c r="M22" s="277"/>
      <c r="N22" s="277"/>
      <c r="O22" s="277"/>
      <c r="P22" s="277"/>
    </row>
    <row r="23" spans="2:20" ht="15" customHeight="1" x14ac:dyDescent="0.25">
      <c r="D23" s="264"/>
      <c r="E23" s="253"/>
      <c r="F23" s="254" t="str">
        <f>INDEX(Texte,40,$N$2)</f>
        <v>3. Angaben zur Fischzucht</v>
      </c>
      <c r="G23" s="253"/>
      <c r="H23" s="253"/>
      <c r="I23" s="253"/>
      <c r="J23" s="253"/>
      <c r="K23" s="253"/>
      <c r="L23" s="253"/>
      <c r="M23" s="253"/>
      <c r="N23" s="253"/>
      <c r="O23" s="253"/>
      <c r="P23" s="253"/>
    </row>
    <row r="24" spans="2:20" ht="15" customHeight="1" x14ac:dyDescent="0.2">
      <c r="D24" s="264"/>
      <c r="E24" s="253"/>
      <c r="F24" s="253"/>
      <c r="G24" s="253"/>
      <c r="H24" s="253"/>
      <c r="I24" s="253"/>
      <c r="J24" s="253"/>
      <c r="K24" s="253"/>
      <c r="L24" s="253"/>
      <c r="M24" s="253"/>
      <c r="N24" s="253"/>
      <c r="O24" s="253"/>
      <c r="P24" s="253"/>
    </row>
    <row r="25" spans="2:20" ht="15" customHeight="1" x14ac:dyDescent="0.2">
      <c r="C25" s="223">
        <f>IF(J25&gt;0,1,0)</f>
        <v>0</v>
      </c>
      <c r="D25" s="264"/>
      <c r="E25" s="253"/>
      <c r="F25" s="253" t="str">
        <f>INDEX(Texte,41,$N$2)</f>
        <v>Fischart (z.B. Forelle, Zander, Lachs etc.)</v>
      </c>
      <c r="G25" s="253"/>
      <c r="H25" s="253"/>
      <c r="I25" s="253"/>
      <c r="J25" s="977"/>
      <c r="K25" s="978"/>
      <c r="L25" s="979"/>
      <c r="M25" s="253"/>
      <c r="N25" s="253"/>
      <c r="O25" s="253"/>
      <c r="P25" s="253"/>
    </row>
    <row r="26" spans="2:20" ht="15" customHeight="1" x14ac:dyDescent="0.2">
      <c r="B26" s="223" t="s">
        <v>698</v>
      </c>
      <c r="D26" s="264"/>
      <c r="E26" s="253"/>
      <c r="F26" s="253" t="str">
        <f>INDEX(Texte,42,$N$2)</f>
        <v>max. Anzahl Fische in der Anlage</v>
      </c>
      <c r="G26" s="253"/>
      <c r="H26" s="253"/>
      <c r="I26" s="253" t="str">
        <f>INDEX(Texte,45,$N$2)</f>
        <v>Anzahl</v>
      </c>
      <c r="J26" s="235"/>
      <c r="K26" s="267"/>
      <c r="L26" s="264"/>
      <c r="M26" s="253"/>
      <c r="N26" s="253"/>
      <c r="O26" s="253"/>
      <c r="P26" s="253"/>
    </row>
    <row r="27" spans="2:20" ht="15" customHeight="1" x14ac:dyDescent="0.2">
      <c r="C27" s="223">
        <f>IF(J27&gt;0,1,0)</f>
        <v>0</v>
      </c>
      <c r="D27" s="264"/>
      <c r="E27" s="253"/>
      <c r="F27" s="253" t="str">
        <f>INDEX(Texte,43,$N$2)</f>
        <v>produzierte Fischmenge pro Jahr</v>
      </c>
      <c r="G27" s="253"/>
      <c r="H27" s="253"/>
      <c r="I27" s="253" t="s">
        <v>94</v>
      </c>
      <c r="J27" s="237"/>
      <c r="K27" s="267"/>
      <c r="L27" s="965" t="str">
        <f>INDEX(Texte,46,$N$2)</f>
        <v>Das max. Fischgewicht müsste bei Zander oder Tilapia höher sein.</v>
      </c>
      <c r="M27" s="965"/>
      <c r="N27" s="965"/>
      <c r="O27" s="253"/>
      <c r="P27" s="253"/>
    </row>
    <row r="28" spans="2:20" ht="15" customHeight="1" x14ac:dyDescent="0.2">
      <c r="B28" s="220" t="s">
        <v>514</v>
      </c>
      <c r="C28" s="223">
        <f>IF(J28&gt;0,1,0)</f>
        <v>0</v>
      </c>
      <c r="D28" s="264"/>
      <c r="E28" s="253"/>
      <c r="F28" s="253" t="str">
        <f>INDEX(Texte,44,$N$2)</f>
        <v>maximales Fischgewicht in der Anlage</v>
      </c>
      <c r="G28" s="253"/>
      <c r="H28" s="253"/>
      <c r="I28" s="253" t="s">
        <v>94</v>
      </c>
      <c r="J28" s="237"/>
      <c r="K28" s="267"/>
      <c r="L28" s="965"/>
      <c r="M28" s="965"/>
      <c r="N28" s="965"/>
      <c r="O28" s="253"/>
      <c r="P28" s="253"/>
    </row>
    <row r="29" spans="2:20" ht="15" customHeight="1" x14ac:dyDescent="0.2">
      <c r="C29" s="240"/>
      <c r="D29" s="264"/>
      <c r="E29" s="253"/>
      <c r="F29" s="253"/>
      <c r="G29" s="253"/>
      <c r="H29" s="253"/>
      <c r="I29" s="273"/>
      <c r="J29" s="267"/>
      <c r="K29" s="267"/>
      <c r="L29" s="913"/>
      <c r="M29" s="913"/>
      <c r="N29" s="913"/>
      <c r="O29" s="253"/>
      <c r="P29" s="253"/>
    </row>
    <row r="30" spans="2:20" ht="15" customHeight="1" x14ac:dyDescent="0.2">
      <c r="C30" s="240"/>
      <c r="D30" s="264"/>
      <c r="E30" s="253"/>
      <c r="F30" s="818" t="str">
        <f>INDEX(Texte,47,$N$2)</f>
        <v>Fütterung:</v>
      </c>
      <c r="G30" s="253"/>
      <c r="H30" s="253"/>
      <c r="I30" s="273"/>
      <c r="J30" s="267"/>
      <c r="K30" s="267"/>
      <c r="L30" s="913"/>
      <c r="M30" s="913"/>
      <c r="N30" s="913"/>
      <c r="O30" s="253"/>
      <c r="P30" s="253"/>
    </row>
    <row r="31" spans="2:20" ht="15" customHeight="1" x14ac:dyDescent="0.2">
      <c r="C31" s="223">
        <f>IF(J31&gt;0,1,0)</f>
        <v>0</v>
      </c>
      <c r="D31" s="264"/>
      <c r="E31" s="253"/>
      <c r="F31" s="253" t="str">
        <f>INDEX(Texte,48,$N$2)</f>
        <v>Energiegehalt des eingesetzten Futters</v>
      </c>
      <c r="G31" s="253"/>
      <c r="H31" s="253"/>
      <c r="I31" s="253" t="s">
        <v>36</v>
      </c>
      <c r="J31" s="237"/>
      <c r="K31" s="267"/>
      <c r="L31" s="257" t="str">
        <f>INDEX(Texte,49,$N$2)</f>
        <v>(Hochenergiefutter ca. 23.4 MJ/kg)</v>
      </c>
      <c r="M31" s="253"/>
      <c r="N31" s="253"/>
      <c r="O31" s="253"/>
      <c r="P31" s="253"/>
    </row>
    <row r="32" spans="2:20" ht="15" customHeight="1" x14ac:dyDescent="0.2">
      <c r="C32" s="223">
        <f>IF(J32&gt;0,1,0)</f>
        <v>0</v>
      </c>
      <c r="D32" s="264"/>
      <c r="E32" s="253"/>
      <c r="F32" s="253" t="str">
        <f>INDEX(Texte,51,$N$2)</f>
        <v>Maximale eingesetzte Futtermenge pro Tag</v>
      </c>
      <c r="G32" s="253"/>
      <c r="H32" s="253"/>
      <c r="I32" s="253" t="str">
        <f>INDEX(Texte,50,$N$2)</f>
        <v>kg/Tag</v>
      </c>
      <c r="J32" s="817">
        <f>L32</f>
        <v>0</v>
      </c>
      <c r="K32" s="256"/>
      <c r="L32" s="238">
        <f>Grundlagen!U12</f>
        <v>0</v>
      </c>
      <c r="M32" s="257" t="str">
        <f>INDEX(Texte,52,$N$2)</f>
        <v>theoretisch notwendige Futtermenge</v>
      </c>
      <c r="N32" s="816"/>
      <c r="O32" s="253"/>
      <c r="P32" s="253"/>
      <c r="R32" s="242"/>
      <c r="S32" s="242"/>
      <c r="T32" s="242"/>
    </row>
    <row r="33" spans="2:20" ht="15" customHeight="1" x14ac:dyDescent="0.2">
      <c r="D33" s="264"/>
      <c r="E33" s="253"/>
      <c r="F33" s="970" t="str">
        <f>INDEX(Texte,53,$N$2)</f>
        <v xml:space="preserve">Wenn die eingesetzte Futtermenge von der theoretischen Menge abweicht, bitte begründen: </v>
      </c>
      <c r="G33" s="970"/>
      <c r="H33" s="970"/>
      <c r="I33" s="970"/>
      <c r="J33" s="970"/>
      <c r="K33" s="971"/>
      <c r="L33" s="914"/>
      <c r="M33" s="915"/>
      <c r="N33" s="916"/>
      <c r="O33" s="253"/>
      <c r="P33" s="253"/>
      <c r="R33" s="242"/>
      <c r="S33" s="242"/>
      <c r="T33" s="242"/>
    </row>
    <row r="34" spans="2:20" ht="15" customHeight="1" x14ac:dyDescent="0.2">
      <c r="B34" s="220" t="s">
        <v>994</v>
      </c>
      <c r="C34" s="223">
        <f>IF(L32&lt;=J32,1,IF(L33&gt;"",1,0))</f>
        <v>1</v>
      </c>
      <c r="D34" s="264"/>
      <c r="E34" s="253"/>
      <c r="F34" s="970"/>
      <c r="G34" s="970"/>
      <c r="H34" s="970"/>
      <c r="I34" s="970"/>
      <c r="J34" s="970"/>
      <c r="K34" s="971"/>
      <c r="L34" s="917"/>
      <c r="M34" s="918"/>
      <c r="N34" s="919"/>
      <c r="O34" s="253"/>
      <c r="P34" s="253"/>
      <c r="R34" s="242"/>
      <c r="S34" s="242"/>
      <c r="T34" s="242"/>
    </row>
    <row r="35" spans="2:20" ht="15" customHeight="1" x14ac:dyDescent="0.2">
      <c r="C35" s="240"/>
      <c r="D35" s="264"/>
      <c r="E35" s="253"/>
      <c r="F35" s="912" t="str">
        <f>INDEX(Texte,54,$N$2)</f>
        <v>Es ist die voraussichtliche maximale Belastung des Gewässers massgebend, daher muss die maximale Futtermenge eingetragen werden. Den geringeren Futtergaben während der Aufzuchtphase und den Ungenauigkeiten dieser Abschätzung, wird durch die Klasse 'kritisch' Rechnung getragen.</v>
      </c>
      <c r="G35" s="912"/>
      <c r="H35" s="912"/>
      <c r="I35" s="912"/>
      <c r="J35" s="912"/>
      <c r="K35" s="912"/>
      <c r="L35" s="912"/>
      <c r="M35" s="912"/>
      <c r="N35" s="912"/>
      <c r="O35" s="253"/>
      <c r="P35" s="253"/>
      <c r="R35" s="242"/>
      <c r="S35" s="242"/>
      <c r="T35" s="242"/>
    </row>
    <row r="36" spans="2:20" ht="15" customHeight="1" x14ac:dyDescent="0.2">
      <c r="C36" s="240"/>
      <c r="D36" s="264"/>
      <c r="E36" s="253"/>
      <c r="F36" s="912"/>
      <c r="G36" s="912"/>
      <c r="H36" s="912"/>
      <c r="I36" s="912"/>
      <c r="J36" s="912"/>
      <c r="K36" s="912"/>
      <c r="L36" s="912"/>
      <c r="M36" s="912"/>
      <c r="N36" s="912"/>
      <c r="O36" s="253"/>
      <c r="P36" s="253"/>
      <c r="R36" s="242"/>
      <c r="S36" s="242"/>
      <c r="T36" s="242"/>
    </row>
    <row r="37" spans="2:20" ht="15" customHeight="1" x14ac:dyDescent="0.2">
      <c r="C37" s="240"/>
      <c r="D37" s="264"/>
      <c r="E37" s="746"/>
      <c r="F37" s="253"/>
      <c r="G37" s="253"/>
      <c r="H37" s="253"/>
      <c r="I37" s="253"/>
      <c r="J37" s="253"/>
      <c r="K37" s="256"/>
      <c r="L37" s="819"/>
      <c r="M37" s="819"/>
      <c r="N37" s="819"/>
      <c r="O37" s="253"/>
      <c r="P37" s="253"/>
      <c r="R37" s="242"/>
      <c r="S37" s="242"/>
      <c r="T37" s="242"/>
    </row>
    <row r="38" spans="2:20" ht="15" customHeight="1" x14ac:dyDescent="0.2">
      <c r="D38" s="264"/>
      <c r="E38" s="253"/>
      <c r="F38" s="818" t="str">
        <f>INDEX(Texte,55,$N$2)</f>
        <v>Anlagengrösse:</v>
      </c>
      <c r="G38" s="253"/>
      <c r="H38" s="253"/>
      <c r="I38" s="253"/>
      <c r="J38" s="253"/>
      <c r="K38" s="267"/>
      <c r="L38" s="264"/>
      <c r="M38" s="816"/>
      <c r="N38" s="816"/>
      <c r="O38" s="253"/>
      <c r="P38" s="253"/>
      <c r="R38" s="242"/>
      <c r="S38" s="242"/>
      <c r="T38" s="242"/>
    </row>
    <row r="39" spans="2:20" ht="15" customHeight="1" x14ac:dyDescent="0.2">
      <c r="B39" s="224"/>
      <c r="C39" s="223">
        <f>IF(J39&gt;0,1,0)</f>
        <v>0</v>
      </c>
      <c r="D39" s="264"/>
      <c r="E39" s="253"/>
      <c r="F39" s="253" t="str">
        <f>INDEX(Texte,56,$N$2)</f>
        <v>Gesamtvolumen aller Fischbecken</v>
      </c>
      <c r="G39" s="253"/>
      <c r="H39" s="253"/>
      <c r="I39" s="253" t="s">
        <v>119</v>
      </c>
      <c r="J39" s="237"/>
      <c r="K39" s="267"/>
      <c r="L39" s="239" t="e">
        <f>J28/J39</f>
        <v>#DIV/0!</v>
      </c>
      <c r="M39" s="257" t="str">
        <f>INDEX(Texte,57,$N$2)</f>
        <v>Besatzdichte in kg/m3</v>
      </c>
      <c r="N39" s="253"/>
      <c r="O39" s="253"/>
      <c r="P39" s="253"/>
      <c r="R39" s="242"/>
      <c r="S39" s="240"/>
      <c r="T39" s="240"/>
    </row>
    <row r="40" spans="2:20" ht="15" customHeight="1" x14ac:dyDescent="0.2">
      <c r="B40" s="224"/>
      <c r="C40" s="240"/>
      <c r="D40" s="264"/>
      <c r="E40" s="253"/>
      <c r="F40" s="253" t="str">
        <f>INDEX(Texte,58,$N$2)</f>
        <v>Gesamtvolumen der Anlage</v>
      </c>
      <c r="G40" s="253"/>
      <c r="H40" s="253"/>
      <c r="I40" s="253" t="s">
        <v>119</v>
      </c>
      <c r="J40" s="235"/>
      <c r="K40" s="267"/>
      <c r="L40" s="253"/>
      <c r="M40" s="253"/>
      <c r="N40" s="253"/>
      <c r="O40" s="253"/>
      <c r="P40" s="253"/>
      <c r="R40" s="242"/>
      <c r="S40" s="240"/>
      <c r="T40" s="240"/>
    </row>
    <row r="41" spans="2:20" ht="15" customHeight="1" x14ac:dyDescent="0.2">
      <c r="B41" s="220" t="s">
        <v>516</v>
      </c>
      <c r="C41" s="223">
        <f>IF(J41&gt;0,1,0)</f>
        <v>0</v>
      </c>
      <c r="D41" s="264"/>
      <c r="E41" s="253"/>
      <c r="F41" s="253" t="str">
        <f>INDEX(Texte,59,$N$2)</f>
        <v>Ablaufwassermenge aus der Anlage</v>
      </c>
      <c r="G41" s="253"/>
      <c r="H41" s="253"/>
      <c r="I41" s="253" t="str">
        <f>INDEX(Texte,60,$N$2)</f>
        <v>m3/Tag</v>
      </c>
      <c r="J41" s="237"/>
      <c r="K41" s="267"/>
      <c r="L41" s="972" t="str">
        <f>INDEX(Texte,61,$N$2)&amp;" = "&amp;(ROUND(J39*0.1,2))&amp;" m3/Tag"</f>
        <v>mindesten 10 % des Volumens = 0 m3/Tag</v>
      </c>
      <c r="M41" s="972"/>
      <c r="N41" s="972"/>
      <c r="O41" s="253"/>
      <c r="P41" s="253"/>
      <c r="R41" s="242"/>
      <c r="S41" s="240"/>
      <c r="T41" s="240"/>
    </row>
    <row r="42" spans="2:20" ht="15" customHeight="1" x14ac:dyDescent="0.2">
      <c r="B42" s="224"/>
      <c r="C42" s="240"/>
      <c r="D42" s="264"/>
      <c r="E42" s="253"/>
      <c r="F42" s="253" t="str">
        <f>INDEX(Texte,62,$N$2)</f>
        <v>Ablaufwassermenge aus der Anlage</v>
      </c>
      <c r="G42" s="253"/>
      <c r="H42" s="253"/>
      <c r="I42" s="253" t="str">
        <f>INDEX(Texte,63,$N$2)</f>
        <v>l/Sekunde</v>
      </c>
      <c r="J42" s="241">
        <f>J41/24/3.6</f>
        <v>0</v>
      </c>
      <c r="K42" s="267"/>
      <c r="L42" s="273"/>
      <c r="M42" s="256"/>
      <c r="N42" s="273"/>
      <c r="O42" s="253"/>
      <c r="P42" s="253"/>
      <c r="R42" s="242"/>
      <c r="S42" s="242"/>
      <c r="T42" s="242"/>
    </row>
    <row r="43" spans="2:20" ht="15" customHeight="1" x14ac:dyDescent="0.2">
      <c r="B43" s="223" t="s">
        <v>1052</v>
      </c>
      <c r="C43" s="232">
        <f>SUM(C25:C41)</f>
        <v>1</v>
      </c>
      <c r="D43" s="264"/>
      <c r="E43" s="253"/>
      <c r="F43" s="253"/>
      <c r="G43" s="253"/>
      <c r="H43" s="253"/>
      <c r="I43" s="253"/>
      <c r="J43" s="253"/>
      <c r="K43" s="253"/>
      <c r="L43" s="281" t="str">
        <f>INDEX(Texte,65,$N$2)</f>
        <v>Berechnung Wassermenge:</v>
      </c>
      <c r="M43" s="273"/>
      <c r="N43" s="253"/>
      <c r="O43" s="253"/>
      <c r="P43" s="253"/>
      <c r="R43" s="242"/>
      <c r="S43" s="242"/>
      <c r="T43" s="242"/>
    </row>
    <row r="44" spans="2:20" ht="13.5" customHeight="1" x14ac:dyDescent="0.2">
      <c r="D44" s="264"/>
      <c r="E44" s="253"/>
      <c r="F44" s="950" t="str">
        <f>INDEX(Texte,64,$N$2)</f>
        <v>Es sind noch nicht alle Muss-Felder ausgefüllt</v>
      </c>
      <c r="G44" s="950"/>
      <c r="H44" s="950"/>
      <c r="I44" s="950"/>
      <c r="J44" s="253"/>
      <c r="K44" s="253"/>
      <c r="L44" s="235"/>
      <c r="M44" s="273" t="str">
        <f>INDEX(Texte,66,$N$2)</f>
        <v>entweder l/min</v>
      </c>
      <c r="N44" s="253"/>
      <c r="O44" s="253"/>
      <c r="P44" s="253"/>
      <c r="R44" s="242"/>
      <c r="S44" s="242"/>
      <c r="T44" s="242"/>
    </row>
    <row r="45" spans="2:20" ht="13.5" customHeight="1" x14ac:dyDescent="0.2">
      <c r="D45" s="264"/>
      <c r="E45" s="745"/>
      <c r="F45" s="253"/>
      <c r="G45" s="253"/>
      <c r="H45" s="253"/>
      <c r="I45" s="253"/>
      <c r="J45" s="253"/>
      <c r="K45" s="253"/>
      <c r="L45" s="235"/>
      <c r="M45" s="273" t="str">
        <f>INDEX(Texte,67,$N$2)</f>
        <v>oder l/s</v>
      </c>
      <c r="N45" s="253"/>
      <c r="O45" s="253"/>
      <c r="P45" s="253"/>
    </row>
    <row r="46" spans="2:20" ht="13.5" customHeight="1" x14ac:dyDescent="0.2">
      <c r="D46" s="264"/>
      <c r="E46" s="253"/>
      <c r="F46" s="253"/>
      <c r="G46" s="253"/>
      <c r="H46" s="253"/>
      <c r="I46" s="253"/>
      <c r="J46" s="253"/>
      <c r="K46" s="253"/>
      <c r="L46" s="815">
        <f>IF(L44&gt;0,L44*60*24/1000,IF(L45&gt;0,L45*24*3.6,0))</f>
        <v>0</v>
      </c>
      <c r="M46" s="820" t="str">
        <f>INDEX(Texte,68,$N$2)</f>
        <v xml:space="preserve"> m3/Tag</v>
      </c>
      <c r="N46" s="253"/>
      <c r="O46" s="253"/>
      <c r="P46" s="253"/>
    </row>
    <row r="47" spans="2:20" ht="13.5" customHeight="1" thickBot="1" x14ac:dyDescent="0.25">
      <c r="D47" s="264"/>
      <c r="E47" s="253"/>
      <c r="F47" s="253"/>
      <c r="G47" s="253"/>
      <c r="H47" s="253"/>
      <c r="I47" s="253"/>
      <c r="J47" s="253"/>
      <c r="K47" s="253"/>
      <c r="L47" s="256"/>
      <c r="M47" s="256"/>
      <c r="N47" s="273"/>
      <c r="O47" s="253"/>
      <c r="P47" s="253"/>
    </row>
    <row r="48" spans="2:20" ht="13.5" customHeight="1" thickTop="1" x14ac:dyDescent="0.2">
      <c r="D48" s="285"/>
      <c r="E48" s="277"/>
      <c r="F48" s="277"/>
      <c r="G48" s="277"/>
      <c r="H48" s="277"/>
      <c r="I48" s="277"/>
      <c r="J48" s="277"/>
      <c r="K48" s="277"/>
      <c r="L48" s="277"/>
      <c r="M48" s="277"/>
      <c r="N48" s="277"/>
      <c r="O48" s="277"/>
      <c r="P48" s="277"/>
    </row>
    <row r="49" spans="2:16" ht="13.5" customHeight="1" x14ac:dyDescent="0.25">
      <c r="D49" s="264"/>
      <c r="E49" s="253"/>
      <c r="F49" s="254" t="str">
        <f>INDEX(Texte,69,$N$2)</f>
        <v>4. Angaben zum Gewässer</v>
      </c>
      <c r="G49" s="253"/>
      <c r="H49" s="253"/>
      <c r="I49" s="253"/>
      <c r="J49" s="253"/>
      <c r="K49" s="253"/>
      <c r="L49" s="253"/>
      <c r="M49" s="253"/>
      <c r="N49" s="253"/>
      <c r="O49" s="253"/>
      <c r="P49" s="253"/>
    </row>
    <row r="50" spans="2:16" ht="13.5" customHeight="1" x14ac:dyDescent="0.2">
      <c r="D50" s="264"/>
      <c r="E50" s="253"/>
      <c r="F50" s="253"/>
      <c r="G50" s="253"/>
      <c r="H50" s="253"/>
      <c r="I50" s="253"/>
      <c r="J50" s="253"/>
      <c r="K50" s="253"/>
      <c r="L50" s="253"/>
      <c r="M50" s="253"/>
      <c r="N50" s="253"/>
      <c r="O50" s="253"/>
      <c r="P50" s="253"/>
    </row>
    <row r="51" spans="2:16" ht="13.5" customHeight="1" x14ac:dyDescent="0.2">
      <c r="B51" s="223" t="s">
        <v>698</v>
      </c>
      <c r="C51" s="223">
        <f>IF(J51&gt;"",1,0)</f>
        <v>0</v>
      </c>
      <c r="D51" s="264"/>
      <c r="E51" s="253"/>
      <c r="F51" s="253" t="str">
        <f>INDEX(Texte,70,$N$2)</f>
        <v>Name des Gewässers</v>
      </c>
      <c r="G51" s="253"/>
      <c r="H51" s="253"/>
      <c r="I51" s="253"/>
      <c r="J51" s="920"/>
      <c r="K51" s="921"/>
      <c r="L51" s="921"/>
      <c r="M51" s="922"/>
      <c r="N51" s="253"/>
      <c r="O51" s="253"/>
      <c r="P51" s="253"/>
    </row>
    <row r="52" spans="2:16" ht="13.5" customHeight="1" x14ac:dyDescent="0.2">
      <c r="C52" s="223">
        <f>IF(J52&gt;0,1,0)</f>
        <v>0</v>
      </c>
      <c r="D52" s="264"/>
      <c r="E52" s="253"/>
      <c r="F52" s="268" t="str">
        <f>INDEX(Texte,71,$N$2)</f>
        <v>Restwassermenge im Bach unmittelbar vor der Einleitstelle (Q347) l/s</v>
      </c>
      <c r="G52" s="253"/>
      <c r="H52" s="253"/>
      <c r="I52" s="253"/>
      <c r="J52" s="756"/>
      <c r="K52" s="253"/>
      <c r="L52" s="253"/>
      <c r="M52" s="253"/>
      <c r="N52" s="253"/>
      <c r="O52" s="253"/>
      <c r="P52" s="253"/>
    </row>
    <row r="53" spans="2:16" ht="13.5" customHeight="1" x14ac:dyDescent="0.2">
      <c r="C53" s="223">
        <f>IF(J53&gt;"",1,0)</f>
        <v>1</v>
      </c>
      <c r="D53" s="264"/>
      <c r="E53" s="253"/>
      <c r="F53" s="253" t="str">
        <f>INDEX(Texte,72,$N$2)</f>
        <v>Wie wurde die Wassermenge im Bach erhoben (Schätzung/Messung)</v>
      </c>
      <c r="G53" s="253"/>
      <c r="H53" s="253"/>
      <c r="I53" s="253"/>
      <c r="J53" s="289" t="str">
        <f>INDEX(QWasser,C58,1)</f>
        <v>Schätzung</v>
      </c>
      <c r="K53" s="253"/>
      <c r="L53" s="253"/>
      <c r="M53" s="253"/>
      <c r="N53" s="253"/>
      <c r="O53" s="253"/>
      <c r="P53" s="253"/>
    </row>
    <row r="54" spans="2:16" ht="13.5" customHeight="1" x14ac:dyDescent="0.2">
      <c r="D54" s="264"/>
      <c r="E54" s="253"/>
      <c r="F54" s="253"/>
      <c r="G54" s="253"/>
      <c r="H54" s="253"/>
      <c r="I54" s="253"/>
      <c r="J54" s="748" t="str">
        <f>INDEX(Texte,75,$N$2)</f>
        <v>Es sind noch nicht alle Muss-Felder ausgefüllt</v>
      </c>
      <c r="K54" s="748"/>
      <c r="L54" s="748"/>
      <c r="M54" s="748"/>
      <c r="N54" s="253"/>
      <c r="O54" s="253"/>
      <c r="P54" s="253"/>
    </row>
    <row r="55" spans="2:16" ht="13.5" customHeight="1" x14ac:dyDescent="0.2">
      <c r="B55" s="223" t="s">
        <v>699</v>
      </c>
      <c r="C55" s="232">
        <f>SUM(C51:C53)</f>
        <v>1</v>
      </c>
      <c r="D55" s="264"/>
      <c r="E55" s="253"/>
      <c r="F55" s="253"/>
      <c r="G55" s="253"/>
      <c r="H55" s="253"/>
      <c r="I55" s="253"/>
      <c r="J55" s="253"/>
      <c r="K55" s="253"/>
      <c r="L55" s="253"/>
      <c r="M55" s="253"/>
      <c r="N55" s="253"/>
      <c r="O55" s="273"/>
      <c r="P55" s="273"/>
    </row>
    <row r="56" spans="2:16" ht="13.5" customHeight="1" x14ac:dyDescent="0.2">
      <c r="B56" s="223"/>
      <c r="C56" s="232"/>
      <c r="D56" s="264"/>
      <c r="E56" s="253"/>
      <c r="F56" s="821"/>
      <c r="G56" s="821"/>
      <c r="H56" s="821"/>
      <c r="I56" s="821"/>
      <c r="J56" s="821"/>
      <c r="K56" s="821"/>
      <c r="L56" s="821"/>
      <c r="M56" s="821"/>
      <c r="N56" s="821"/>
      <c r="O56" s="273"/>
      <c r="P56" s="273"/>
    </row>
    <row r="57" spans="2:16" ht="13.5" customHeight="1" x14ac:dyDescent="0.2">
      <c r="B57" s="240"/>
      <c r="C57" s="240"/>
      <c r="D57" s="264"/>
      <c r="E57" s="253"/>
      <c r="F57" s="822" t="str">
        <f>INDEX(Texte,76,$N$2)</f>
        <v>Vorbelastung des Bachs, nur ausfüllen wenn bekannt:</v>
      </c>
      <c r="G57" s="271"/>
      <c r="H57" s="271"/>
      <c r="I57" s="271"/>
      <c r="J57" s="271"/>
      <c r="K57" s="271"/>
      <c r="L57" s="271"/>
      <c r="M57" s="271"/>
      <c r="N57" s="271"/>
      <c r="O57" s="253"/>
      <c r="P57" s="253"/>
    </row>
    <row r="58" spans="2:16" ht="13.5" customHeight="1" x14ac:dyDescent="0.2">
      <c r="B58" s="240" t="s">
        <v>1265</v>
      </c>
      <c r="C58" s="858">
        <v>1</v>
      </c>
      <c r="D58" s="264"/>
      <c r="E58" s="253"/>
      <c r="F58" s="253"/>
      <c r="G58" s="253"/>
      <c r="H58" s="253"/>
      <c r="I58" s="253"/>
      <c r="J58" s="264" t="str">
        <f>INDEX(Texte,77,$N$2)</f>
        <v>Klassierung *</v>
      </c>
      <c r="K58" s="253"/>
      <c r="L58" s="264" t="str">
        <f>INDEX(Texte,78,$N$2)</f>
        <v>Vorbelastung mit DOC</v>
      </c>
      <c r="M58" s="253"/>
      <c r="N58" s="253"/>
      <c r="O58" s="253"/>
      <c r="P58" s="253"/>
    </row>
    <row r="59" spans="2:16" ht="13.5" customHeight="1" x14ac:dyDescent="0.2">
      <c r="B59" s="220" t="s">
        <v>1266</v>
      </c>
      <c r="C59" s="857">
        <v>1</v>
      </c>
      <c r="D59" s="264"/>
      <c r="E59" s="253"/>
      <c r="F59" s="253" t="str">
        <f>INDEX(Texte,81,$N$2)</f>
        <v>DOC (gel. org. Kohlenstoff)</v>
      </c>
      <c r="G59" s="253"/>
      <c r="H59" s="255" t="s">
        <v>269</v>
      </c>
      <c r="I59" s="235"/>
      <c r="J59" s="243" t="str">
        <f>Gewaesserbelastung!E19</f>
        <v/>
      </c>
      <c r="K59" s="253"/>
      <c r="L59" s="854" t="str">
        <f>INDEX(DOCVorbel,C59,1)</f>
        <v>gering</v>
      </c>
      <c r="M59" s="253"/>
      <c r="N59" s="253"/>
      <c r="O59" s="253"/>
      <c r="P59" s="253"/>
    </row>
    <row r="60" spans="2:16" ht="13.5" customHeight="1" x14ac:dyDescent="0.2">
      <c r="D60" s="264"/>
      <c r="E60" s="253"/>
      <c r="F60" s="253" t="str">
        <f>INDEX(Texte,82,$N$2)</f>
        <v>NH4-N (Ammonium-Stickstoff)</v>
      </c>
      <c r="G60" s="253"/>
      <c r="H60" s="255" t="s">
        <v>269</v>
      </c>
      <c r="I60" s="235"/>
      <c r="J60" s="243" t="str">
        <f>Gewaesserbelastung!E20</f>
        <v/>
      </c>
      <c r="K60" s="253"/>
      <c r="L60" s="253"/>
      <c r="M60" s="253"/>
      <c r="N60" s="253"/>
      <c r="O60" s="253"/>
      <c r="P60" s="253"/>
    </row>
    <row r="61" spans="2:16" ht="13.5" customHeight="1" x14ac:dyDescent="0.2">
      <c r="D61" s="264"/>
      <c r="E61" s="253"/>
      <c r="F61" s="253" t="str">
        <f>INDEX(Texte,83,$N$2)</f>
        <v>NO3-N (Nitrat-Stickstoff)</v>
      </c>
      <c r="G61" s="253"/>
      <c r="H61" s="255" t="s">
        <v>269</v>
      </c>
      <c r="I61" s="235"/>
      <c r="J61" s="243" t="str">
        <f>Gewaesserbelastung!E21</f>
        <v/>
      </c>
      <c r="K61" s="746" t="s">
        <v>620</v>
      </c>
      <c r="L61" s="923" t="str">
        <f>INDEX(Texte,87,$N$2)</f>
        <v>Klassierung der Gewässerqualität gemäss Modulstufenkonzept des BAFU</v>
      </c>
      <c r="M61" s="923"/>
      <c r="N61" s="253"/>
      <c r="O61" s="253"/>
      <c r="P61" s="253"/>
    </row>
    <row r="62" spans="2:16" ht="13.5" customHeight="1" x14ac:dyDescent="0.2">
      <c r="D62" s="264"/>
      <c r="E62" s="253"/>
      <c r="F62" s="253" t="str">
        <f>INDEX(Texte,84,$N$2)</f>
        <v>P gelöst (gelöster Phosphor)</v>
      </c>
      <c r="G62" s="253"/>
      <c r="H62" s="255" t="s">
        <v>269</v>
      </c>
      <c r="I62" s="244"/>
      <c r="J62" s="243" t="str">
        <f>Gewaesserbelastung!E22</f>
        <v/>
      </c>
      <c r="K62" s="253"/>
      <c r="L62" s="923"/>
      <c r="M62" s="923"/>
      <c r="N62" s="253"/>
      <c r="O62" s="253"/>
      <c r="P62" s="253"/>
    </row>
    <row r="63" spans="2:16" ht="13.5" customHeight="1" x14ac:dyDescent="0.2">
      <c r="D63" s="264"/>
      <c r="E63" s="253"/>
      <c r="F63" s="253" t="str">
        <f>INDEX(Texte,85,$N$2)</f>
        <v>P gesamt (gesamter Phosphor)</v>
      </c>
      <c r="G63" s="253"/>
      <c r="H63" s="255" t="s">
        <v>269</v>
      </c>
      <c r="I63" s="244"/>
      <c r="J63" s="243" t="str">
        <f>Gewaesserbelastung!E23</f>
        <v/>
      </c>
      <c r="K63" s="253"/>
      <c r="L63" s="253"/>
      <c r="M63" s="253"/>
      <c r="N63" s="253"/>
      <c r="O63" s="253"/>
      <c r="P63" s="253"/>
    </row>
    <row r="64" spans="2:16" ht="13.5" customHeight="1" x14ac:dyDescent="0.2">
      <c r="D64" s="264"/>
      <c r="E64" s="253"/>
      <c r="F64" s="253" t="str">
        <f>INDEX(Texte,86,$N$2)</f>
        <v>Art der Untersuchung (Stichprobe, Untersuchuchgsreihe)</v>
      </c>
      <c r="G64" s="253"/>
      <c r="H64" s="253"/>
      <c r="I64" s="924"/>
      <c r="J64" s="925"/>
      <c r="K64" s="269"/>
      <c r="L64" s="253"/>
      <c r="M64" s="253"/>
      <c r="N64" s="253"/>
      <c r="O64" s="253"/>
      <c r="P64" s="253"/>
    </row>
    <row r="65" spans="2:16" ht="13.5" customHeight="1" thickBot="1" x14ac:dyDescent="0.25">
      <c r="D65" s="264"/>
      <c r="E65" s="253"/>
      <c r="F65" s="253"/>
      <c r="G65" s="253"/>
      <c r="H65" s="253"/>
      <c r="I65" s="253"/>
      <c r="J65" s="253"/>
      <c r="K65" s="253"/>
      <c r="L65" s="253"/>
      <c r="M65" s="253"/>
      <c r="N65" s="253"/>
      <c r="O65" s="253"/>
      <c r="P65" s="253"/>
    </row>
    <row r="66" spans="2:16" ht="13.5" customHeight="1" thickTop="1" x14ac:dyDescent="0.2">
      <c r="D66" s="285"/>
      <c r="E66" s="277"/>
      <c r="F66" s="277"/>
      <c r="G66" s="277"/>
      <c r="H66" s="277"/>
      <c r="I66" s="277"/>
      <c r="J66" s="277"/>
      <c r="K66" s="277"/>
      <c r="L66" s="277"/>
      <c r="M66" s="277"/>
      <c r="N66" s="277"/>
      <c r="O66" s="277"/>
      <c r="P66" s="277"/>
    </row>
    <row r="67" spans="2:16" ht="15" customHeight="1" x14ac:dyDescent="0.25">
      <c r="D67" s="264"/>
      <c r="E67" s="253"/>
      <c r="F67" s="254" t="str">
        <f>INDEX(Texte,94,$N$2)</f>
        <v>5. Abtrennung der Feststoffe</v>
      </c>
      <c r="G67" s="253"/>
      <c r="H67" s="253"/>
      <c r="I67" s="253"/>
      <c r="J67" s="253"/>
      <c r="K67" s="253"/>
      <c r="L67" s="253"/>
      <c r="M67" s="253"/>
      <c r="N67" s="253"/>
      <c r="O67" s="253"/>
      <c r="P67" s="253"/>
    </row>
    <row r="68" spans="2:16" ht="15" customHeight="1" x14ac:dyDescent="0.2">
      <c r="D68" s="264"/>
      <c r="E68" s="253"/>
      <c r="F68" s="253"/>
      <c r="G68" s="253"/>
      <c r="H68" s="253"/>
      <c r="I68" s="253"/>
      <c r="J68" s="253"/>
      <c r="K68" s="253"/>
      <c r="L68" s="253"/>
      <c r="M68" s="253"/>
      <c r="N68" s="253"/>
      <c r="O68" s="253"/>
      <c r="P68" s="253"/>
    </row>
    <row r="69" spans="2:16" ht="50.1" customHeight="1" x14ac:dyDescent="0.2">
      <c r="B69" s="234" t="s">
        <v>519</v>
      </c>
      <c r="C69" s="234">
        <f>VLOOKUP(H69,Schlammtext,11)</f>
        <v>1</v>
      </c>
      <c r="D69" s="264"/>
      <c r="E69" s="253"/>
      <c r="F69" s="908" t="str">
        <f>INDEX(Texte,95,$N$2)</f>
        <v>Art der Feststoffabtrennung:</v>
      </c>
      <c r="G69" s="909"/>
      <c r="H69" s="938" t="str">
        <f>INDEX(Schlamm,C73,1)</f>
        <v>a) keine Feststoffabtrennung</v>
      </c>
      <c r="I69" s="939"/>
      <c r="J69" s="911" t="str">
        <f>VLOOKUP(H69,Schlammtext,2)</f>
        <v>Werden die Feststoffe nicht abgetrennt, erhöht sich die Belastung des Abwassers.</v>
      </c>
      <c r="K69" s="911"/>
      <c r="L69" s="911"/>
      <c r="M69" s="911"/>
      <c r="N69" s="911"/>
      <c r="O69" s="253"/>
      <c r="P69" s="253"/>
    </row>
    <row r="70" spans="2:16" ht="50.1" customHeight="1" x14ac:dyDescent="0.2">
      <c r="B70" s="234" t="s">
        <v>520</v>
      </c>
      <c r="C70" s="234">
        <f>IF(C69&lt;3,2,VLOOKUP(H70,Entwässerungstext,11))</f>
        <v>2</v>
      </c>
      <c r="D70" s="264"/>
      <c r="E70" s="253"/>
      <c r="F70" s="982" t="str">
        <f>INDEX(Texte,104,$N$2)</f>
        <v>Entwässerung der abgetrennten Feststoffe:</v>
      </c>
      <c r="G70" s="983"/>
      <c r="H70" s="987" t="str">
        <f>INDEX(Entwässerung,C74,1)</f>
        <v>b) keine sofortige Entwässerung</v>
      </c>
      <c r="I70" s="988"/>
      <c r="J70" s="953" t="str">
        <f>VLOOKUP(H70,Entwässerungstext,2)</f>
        <v>Werden die Feststoffe nicht abgetrennt und entwässert, erfolgt eine Rücklösung von Stoffen welche das Abwasser zusätzlich belasten. Es werden 30% bis 40% der Stoffe wieder freigesetzt.</v>
      </c>
      <c r="K70" s="954"/>
      <c r="L70" s="954"/>
      <c r="M70" s="954"/>
      <c r="N70" s="955"/>
      <c r="O70" s="253"/>
      <c r="P70" s="253"/>
    </row>
    <row r="71" spans="2:16" ht="15" customHeight="1" x14ac:dyDescent="0.2">
      <c r="B71" s="234" t="s">
        <v>1002</v>
      </c>
      <c r="C71" s="234">
        <f>IF(C69&lt;3,1,0)</f>
        <v>1</v>
      </c>
      <c r="D71" s="264"/>
      <c r="E71" s="253"/>
      <c r="F71" s="253"/>
      <c r="G71" s="253"/>
      <c r="H71" s="892" t="str">
        <f>INDEX(Texte,109,$N$2)</f>
        <v>Eine Entwässerung ist nicht möglich, wenn Sie die Feststoffe nicht mit einem Filter abtrennen!</v>
      </c>
      <c r="I71" s="892"/>
      <c r="J71" s="892"/>
      <c r="K71" s="892"/>
      <c r="L71" s="892"/>
      <c r="M71" s="892"/>
      <c r="N71" s="892"/>
      <c r="O71" s="253"/>
      <c r="P71" s="253"/>
    </row>
    <row r="72" spans="2:16" ht="15" customHeight="1" x14ac:dyDescent="0.2">
      <c r="D72" s="264"/>
      <c r="E72" s="253"/>
      <c r="F72" s="253"/>
      <c r="G72" s="253"/>
      <c r="H72" s="892" t="str">
        <f>INDEX(Texte,110,$N$2)</f>
        <v>Bei Kreislaufanlagen wird die Feststoffabtrennung und -entwässerung automatisch berücksichtigt !</v>
      </c>
      <c r="I72" s="892"/>
      <c r="J72" s="892"/>
      <c r="K72" s="892"/>
      <c r="L72" s="892"/>
      <c r="M72" s="892"/>
      <c r="N72" s="892"/>
      <c r="O72" s="253"/>
      <c r="P72" s="253"/>
    </row>
    <row r="73" spans="2:16" ht="15" customHeight="1" x14ac:dyDescent="0.2">
      <c r="B73" s="220" t="s">
        <v>1268</v>
      </c>
      <c r="C73" s="857">
        <v>1</v>
      </c>
      <c r="D73" s="264"/>
      <c r="E73" s="253"/>
      <c r="F73" s="253"/>
      <c r="G73" s="253"/>
      <c r="H73" s="986" t="str">
        <f>INDEX(Texte,111,$N$2)</f>
        <v>Bei Teichanlagen ist eine Feststoffabtrennung nicht sinnvoll, die Einstellungen haben keinen Einfluss.</v>
      </c>
      <c r="I73" s="986"/>
      <c r="J73" s="986"/>
      <c r="K73" s="986"/>
      <c r="L73" s="986"/>
      <c r="M73" s="986"/>
      <c r="N73" s="986"/>
      <c r="O73" s="253"/>
      <c r="P73" s="253"/>
    </row>
    <row r="74" spans="2:16" ht="15" customHeight="1" x14ac:dyDescent="0.2">
      <c r="B74" s="220" t="s">
        <v>1269</v>
      </c>
      <c r="C74" s="857">
        <v>2</v>
      </c>
      <c r="D74" s="264"/>
      <c r="E74" s="253"/>
      <c r="F74" s="253"/>
      <c r="G74" s="253"/>
      <c r="H74" s="253"/>
      <c r="I74" s="253"/>
      <c r="J74" s="253"/>
      <c r="K74" s="253"/>
      <c r="L74" s="253"/>
      <c r="M74" s="253"/>
      <c r="N74" s="253"/>
      <c r="O74" s="253"/>
      <c r="P74" s="253"/>
    </row>
    <row r="75" spans="2:16" ht="228.75" customHeight="1" x14ac:dyDescent="0.2">
      <c r="D75" s="264"/>
      <c r="E75" s="253"/>
      <c r="F75" s="952" t="str">
        <f>INDEX(Texte,112,$N$2)</f>
        <v>Hier sehen Sie die Auswirkungen, wenn Sie die Feststoffabtrennung und -entwässerung, oder die Nachbehandlung des Abwassers verändern.</v>
      </c>
      <c r="G75" s="952"/>
      <c r="H75" s="952"/>
      <c r="I75" s="952"/>
      <c r="J75" s="951"/>
      <c r="K75" s="951"/>
      <c r="L75" s="951"/>
      <c r="M75" s="951"/>
      <c r="N75" s="951"/>
      <c r="O75" s="253"/>
      <c r="P75" s="253"/>
    </row>
    <row r="76" spans="2:16" ht="15" customHeight="1" x14ac:dyDescent="0.2">
      <c r="B76" s="220" t="s">
        <v>1270</v>
      </c>
      <c r="C76" s="857">
        <v>1</v>
      </c>
      <c r="D76" s="264"/>
      <c r="E76" s="253"/>
      <c r="F76" s="743"/>
      <c r="G76" s="743"/>
      <c r="H76" s="743"/>
      <c r="I76" s="743"/>
      <c r="J76" s="742"/>
      <c r="K76" s="742"/>
      <c r="L76" s="742"/>
      <c r="M76" s="742"/>
      <c r="N76" s="742"/>
      <c r="O76" s="253"/>
      <c r="P76" s="253"/>
    </row>
    <row r="77" spans="2:16" ht="15" customHeight="1" x14ac:dyDescent="0.25">
      <c r="B77" s="220" t="s">
        <v>1271</v>
      </c>
      <c r="C77" s="857">
        <v>1</v>
      </c>
      <c r="D77" s="264"/>
      <c r="E77" s="253"/>
      <c r="F77" s="254" t="str">
        <f>INDEX(Texte,120,$N$2)</f>
        <v>6. Angaben zur Abwassernachbehandlung</v>
      </c>
      <c r="G77" s="253"/>
      <c r="H77" s="253"/>
      <c r="I77" s="253"/>
      <c r="J77" s="253"/>
      <c r="K77" s="253"/>
      <c r="L77" s="253"/>
      <c r="M77" s="253"/>
      <c r="N77" s="253"/>
      <c r="O77" s="253"/>
      <c r="P77" s="253"/>
    </row>
    <row r="78" spans="2:16" ht="15" customHeight="1" x14ac:dyDescent="0.2">
      <c r="D78" s="264"/>
      <c r="E78" s="253"/>
      <c r="F78" s="253"/>
      <c r="G78" s="253"/>
      <c r="H78" s="253"/>
      <c r="I78" s="253"/>
      <c r="J78" s="253"/>
      <c r="K78" s="253"/>
      <c r="L78" s="253"/>
      <c r="M78" s="253"/>
      <c r="N78" s="253"/>
      <c r="O78" s="253"/>
      <c r="P78" s="253"/>
    </row>
    <row r="79" spans="2:16" ht="50.1" customHeight="1" x14ac:dyDescent="0.2">
      <c r="B79" s="234" t="s">
        <v>772</v>
      </c>
      <c r="C79" s="234">
        <f>VLOOKUP(H79,PhosphorFText,11)</f>
        <v>1</v>
      </c>
      <c r="D79" s="264"/>
      <c r="E79" s="253"/>
      <c r="F79" s="982" t="str">
        <f>INDEX(Texte,121,$N$2)</f>
        <v>P-Fällung bei Kreislaufanlagen</v>
      </c>
      <c r="G79" s="983"/>
      <c r="H79" s="984" t="str">
        <f>INDEX(PhosphorF,C76,1)</f>
        <v>d) keine</v>
      </c>
      <c r="I79" s="985"/>
      <c r="J79" s="953" t="str">
        <f>VLOOKUP(H79,PhosphorFText,2)</f>
        <v>Eine P-Fällung wird nur bei Kreislaufanlagen berücksichtigt.</v>
      </c>
      <c r="K79" s="954"/>
      <c r="L79" s="954"/>
      <c r="M79" s="954"/>
      <c r="N79" s="955"/>
      <c r="O79" s="253"/>
      <c r="P79" s="253"/>
    </row>
    <row r="80" spans="2:16" ht="50.1" customHeight="1" x14ac:dyDescent="0.2">
      <c r="B80" s="234" t="s">
        <v>674</v>
      </c>
      <c r="C80" s="234">
        <f>VLOOKUP(H80,VorbehText,11)</f>
        <v>1</v>
      </c>
      <c r="D80" s="264"/>
      <c r="E80" s="253"/>
      <c r="F80" s="982" t="str">
        <f>INDEX(Texte,127,$N$2)</f>
        <v>Art der Nachbehandlung</v>
      </c>
      <c r="G80" s="983"/>
      <c r="H80" s="855" t="str">
        <f>INDEX(Vorbeh,C77,1)</f>
        <v>a) keine</v>
      </c>
      <c r="I80" s="856"/>
      <c r="J80" s="953" t="str">
        <f>VLOOKUP(H80,VorbehText,2)</f>
        <v>Durch eine Nachbehandlung des Ablaufwassers kann die Gewässerbelastung reduziert werden (nicht bei Teichanlagen).</v>
      </c>
      <c r="K80" s="954"/>
      <c r="L80" s="954"/>
      <c r="M80" s="954"/>
      <c r="N80" s="955"/>
      <c r="O80" s="253"/>
      <c r="P80" s="253"/>
    </row>
    <row r="81" spans="2:16" ht="13.5" customHeight="1" thickBot="1" x14ac:dyDescent="0.25">
      <c r="D81" s="264"/>
      <c r="E81" s="253"/>
      <c r="F81" s="253"/>
      <c r="G81" s="253"/>
      <c r="H81" s="253"/>
      <c r="I81" s="253"/>
      <c r="J81" s="253"/>
      <c r="K81" s="253"/>
      <c r="L81" s="253"/>
      <c r="M81" s="253"/>
      <c r="N81" s="253"/>
      <c r="O81" s="253"/>
      <c r="P81" s="253"/>
    </row>
    <row r="82" spans="2:16" ht="15" customHeight="1" thickTop="1" thickBot="1" x14ac:dyDescent="0.25">
      <c r="D82" s="285"/>
      <c r="E82" s="277"/>
      <c r="F82" s="277"/>
      <c r="G82" s="277"/>
      <c r="H82" s="277"/>
      <c r="I82" s="277"/>
      <c r="J82" s="277"/>
      <c r="K82" s="277"/>
      <c r="L82" s="277"/>
      <c r="M82" s="277"/>
      <c r="N82" s="277"/>
      <c r="O82" s="277"/>
      <c r="P82" s="277"/>
    </row>
    <row r="83" spans="2:16" ht="15" customHeight="1" x14ac:dyDescent="0.2">
      <c r="D83" s="264"/>
      <c r="E83" s="763"/>
      <c r="F83" s="764"/>
      <c r="G83" s="764"/>
      <c r="H83" s="764"/>
      <c r="I83" s="764"/>
      <c r="J83" s="764"/>
      <c r="K83" s="764"/>
      <c r="L83" s="764"/>
      <c r="M83" s="764"/>
      <c r="N83" s="764"/>
      <c r="O83" s="765"/>
      <c r="P83" s="253"/>
    </row>
    <row r="84" spans="2:16" ht="15" customHeight="1" x14ac:dyDescent="0.25">
      <c r="D84" s="264"/>
      <c r="E84" s="766"/>
      <c r="F84" s="280" t="str">
        <f>INDEX(Texte,134,$N$2)</f>
        <v>7. Resultate und Bewertung</v>
      </c>
      <c r="G84" s="273"/>
      <c r="H84" s="273"/>
      <c r="I84" s="747" t="s">
        <v>620</v>
      </c>
      <c r="J84" s="910" t="str">
        <f>INDEX(Texte,135,$N$2)</f>
        <v>Klassierung der Gewässerqualität gemäss Modulstufenkonzept des BAFU</v>
      </c>
      <c r="K84" s="910"/>
      <c r="L84" s="910"/>
      <c r="M84" s="253"/>
      <c r="N84" s="273"/>
      <c r="O84" s="767"/>
      <c r="P84" s="253"/>
    </row>
    <row r="85" spans="2:16" ht="15" customHeight="1" x14ac:dyDescent="0.2">
      <c r="D85" s="264"/>
      <c r="E85" s="766"/>
      <c r="F85" s="273"/>
      <c r="G85" s="273"/>
      <c r="H85" s="273"/>
      <c r="I85" s="273"/>
      <c r="J85" s="910"/>
      <c r="K85" s="910"/>
      <c r="L85" s="910"/>
      <c r="M85" s="253"/>
      <c r="N85" s="273"/>
      <c r="O85" s="767"/>
      <c r="P85" s="253"/>
    </row>
    <row r="86" spans="2:16" ht="38.25" x14ac:dyDescent="0.2">
      <c r="B86" s="220" t="s">
        <v>746</v>
      </c>
      <c r="C86" s="245">
        <v>0.3</v>
      </c>
      <c r="D86" s="264"/>
      <c r="E86" s="766"/>
      <c r="F86" s="281" t="str">
        <f>Grundlagen!AI123</f>
        <v>Parameter</v>
      </c>
      <c r="G86" s="282" t="str">
        <f>INDEX(Texte,145,$N$2)</f>
        <v>ungefähre Zusatz-belastung des Ablaufwassers:</v>
      </c>
      <c r="H86" s="282" t="str">
        <f>INDEX(Texte,146,$N$2)</f>
        <v>Konzentrations-erhöhung im Gewässer</v>
      </c>
      <c r="I86" s="282" t="str">
        <f>INDEX(Texte,147,$N$2)</f>
        <v>ungefähre Konzentration im Gewässer</v>
      </c>
      <c r="J86" s="282" t="str">
        <f>INDEX(Texte,148,$N$2)</f>
        <v>Klassierung *</v>
      </c>
      <c r="K86" s="281"/>
      <c r="L86" s="282" t="str">
        <f>INDEX(Texte,149,$N$2)</f>
        <v>Beurteilung</v>
      </c>
      <c r="M86" s="273"/>
      <c r="N86" s="273"/>
      <c r="O86" s="767"/>
      <c r="P86" s="253"/>
    </row>
    <row r="87" spans="2:16" ht="15" customHeight="1" x14ac:dyDescent="0.2">
      <c r="C87" s="247" t="e">
        <f>Grundlagen!AR131</f>
        <v>#VALUE!</v>
      </c>
      <c r="D87" s="279"/>
      <c r="E87" s="766"/>
      <c r="F87" s="281" t="str">
        <f>Grundlagen!AI131&amp;" mg/l"</f>
        <v>DOC mg/l</v>
      </c>
      <c r="G87" s="283" t="e">
        <f>Grundlagen!AS131</f>
        <v>#VALUE!</v>
      </c>
      <c r="H87" s="283" t="e">
        <f>IF(G87="","",Gewaesserbelastung!C28)</f>
        <v>#VALUE!</v>
      </c>
      <c r="I87" s="283" t="e">
        <f>IF(G87="","",Gewaesserbelastung!C37)</f>
        <v>#VALUE!</v>
      </c>
      <c r="J87" s="243" t="str">
        <f>IF(ISERROR(Gewaesserbelastung!D37),"",Gewaesserbelastung!D37)</f>
        <v/>
      </c>
      <c r="K87" s="281"/>
      <c r="L87" s="891" t="e">
        <f>IF(H87="","",Gewaesserbelastung!D28)</f>
        <v>#VALUE!</v>
      </c>
      <c r="M87" s="891"/>
      <c r="N87" s="271"/>
      <c r="O87" s="768"/>
      <c r="P87" s="253"/>
    </row>
    <row r="88" spans="2:16" ht="15" customHeight="1" x14ac:dyDescent="0.2">
      <c r="B88" s="220" t="s">
        <v>745</v>
      </c>
      <c r="C88" s="247" t="e">
        <f>Grundlagen!AR124</f>
        <v>#VALUE!</v>
      </c>
      <c r="D88" s="279"/>
      <c r="E88" s="766"/>
      <c r="F88" s="281" t="str">
        <f>Grundlagen!AI124&amp;" mg/l"</f>
        <v>Ammonium-N mg/l</v>
      </c>
      <c r="G88" s="283" t="e">
        <f>Grundlagen!AS124</f>
        <v>#VALUE!</v>
      </c>
      <c r="H88" s="283" t="e">
        <f>IF(G88="","",Gewaesserbelastung!C29)</f>
        <v>#VALUE!</v>
      </c>
      <c r="I88" s="283" t="e">
        <f>IF(G88="","",Gewaesserbelastung!C38)</f>
        <v>#VALUE!</v>
      </c>
      <c r="J88" s="243" t="str">
        <f>IF(ISERROR(Gewaesserbelastung!D38),"",Gewaesserbelastung!D38)</f>
        <v/>
      </c>
      <c r="K88" s="281"/>
      <c r="L88" s="891" t="e">
        <f>IF(H88="","",Gewaesserbelastung!D29)</f>
        <v>#VALUE!</v>
      </c>
      <c r="M88" s="891"/>
      <c r="N88" s="271"/>
      <c r="O88" s="768"/>
      <c r="P88" s="253"/>
    </row>
    <row r="89" spans="2:16" ht="15" customHeight="1" x14ac:dyDescent="0.2">
      <c r="B89" s="220" t="s">
        <v>700</v>
      </c>
      <c r="C89" s="247" t="e">
        <f>Grundlagen!AR125</f>
        <v>#DIV/0!</v>
      </c>
      <c r="D89" s="279"/>
      <c r="E89" s="766"/>
      <c r="F89" s="281" t="str">
        <f>Grundlagen!AI125&amp;" mg/l"</f>
        <v>Nitrat-N mg/l</v>
      </c>
      <c r="G89" s="283" t="e">
        <f>Grundlagen!AS125</f>
        <v>#DIV/0!</v>
      </c>
      <c r="H89" s="283" t="e">
        <f>IF(G89="","",Gewaesserbelastung!C30)</f>
        <v>#DIV/0!</v>
      </c>
      <c r="I89" s="283" t="e">
        <f>IF(G89="","",Gewaesserbelastung!C39)</f>
        <v>#DIV/0!</v>
      </c>
      <c r="J89" s="243" t="str">
        <f>IF(ISERROR(Gewaesserbelastung!D39),"",Gewaesserbelastung!D39)</f>
        <v/>
      </c>
      <c r="K89" s="281"/>
      <c r="L89" s="891" t="e">
        <f>IF(H89="","",Gewaesserbelastung!D30)</f>
        <v>#DIV/0!</v>
      </c>
      <c r="M89" s="891"/>
      <c r="N89" s="271"/>
      <c r="O89" s="768"/>
      <c r="P89" s="253"/>
    </row>
    <row r="90" spans="2:16" ht="15" customHeight="1" x14ac:dyDescent="0.2">
      <c r="B90" s="220" t="s">
        <v>701</v>
      </c>
      <c r="C90" s="247" t="e">
        <f>Grundlagen!AR126</f>
        <v>#DIV/0!</v>
      </c>
      <c r="D90" s="279"/>
      <c r="E90" s="766"/>
      <c r="F90" s="281" t="str">
        <f>Grundlagen!AI126&amp;" mg/l"</f>
        <v>Gesamt-N mg/l</v>
      </c>
      <c r="G90" s="283" t="e">
        <f>Grundlagen!AS126</f>
        <v>#DIV/0!</v>
      </c>
      <c r="H90" s="283" t="e">
        <f t="shared" ref="H90:H94" si="0">IF(G90="","",G90*J$42/(J$42+J$52))</f>
        <v>#DIV/0!</v>
      </c>
      <c r="I90" s="283"/>
      <c r="J90" s="281"/>
      <c r="K90" s="281"/>
      <c r="L90" s="267"/>
      <c r="M90" s="273"/>
      <c r="N90" s="273"/>
      <c r="O90" s="768"/>
      <c r="P90" s="253"/>
    </row>
    <row r="91" spans="2:16" ht="15" customHeight="1" x14ac:dyDescent="0.2">
      <c r="C91" s="247" t="e">
        <f>Grundlagen!AR127</f>
        <v>#DIV/0!</v>
      </c>
      <c r="D91" s="279"/>
      <c r="E91" s="766"/>
      <c r="F91" s="281" t="str">
        <f>Grundlagen!AI127&amp;" mg/l"</f>
        <v>P gelöst mg/l</v>
      </c>
      <c r="G91" s="283" t="e">
        <f>Grundlagen!AS127</f>
        <v>#DIV/0!</v>
      </c>
      <c r="H91" s="283" t="e">
        <f>IF(G91="","",Gewaesserbelastung!C31)</f>
        <v>#DIV/0!</v>
      </c>
      <c r="I91" s="283" t="e">
        <f>IF(G91="","",Gewaesserbelastung!C40)</f>
        <v>#DIV/0!</v>
      </c>
      <c r="J91" s="243" t="str">
        <f>IF(ISERROR(Gewaesserbelastung!D40),"",Gewaesserbelastung!D40)</f>
        <v/>
      </c>
      <c r="K91" s="281"/>
      <c r="L91" s="891" t="e">
        <f>IF(H91="","",Gewaesserbelastung!D31)</f>
        <v>#DIV/0!</v>
      </c>
      <c r="M91" s="891"/>
      <c r="N91" s="271"/>
      <c r="O91" s="768"/>
      <c r="P91" s="253"/>
    </row>
    <row r="92" spans="2:16" ht="15" customHeight="1" x14ac:dyDescent="0.2">
      <c r="C92" s="247" t="e">
        <f>Grundlagen!AR128</f>
        <v>#DIV/0!</v>
      </c>
      <c r="D92" s="279"/>
      <c r="E92" s="766"/>
      <c r="F92" s="281" t="str">
        <f>Grundlagen!AI128&amp;" mg/l"</f>
        <v>Gesamt-P mg/l</v>
      </c>
      <c r="G92" s="283" t="e">
        <f>Grundlagen!AS128</f>
        <v>#DIV/0!</v>
      </c>
      <c r="H92" s="283" t="e">
        <f>IF(G92="","",Gewaesserbelastung!C32)</f>
        <v>#DIV/0!</v>
      </c>
      <c r="I92" s="283" t="e">
        <f>IF(G92="","",Gewaesserbelastung!C41)</f>
        <v>#DIV/0!</v>
      </c>
      <c r="J92" s="243" t="str">
        <f>IF(ISERROR(Gewaesserbelastung!D41),"",Gewaesserbelastung!D41)</f>
        <v/>
      </c>
      <c r="K92" s="281"/>
      <c r="L92" s="891" t="e">
        <f>IF(H92="","",Gewaesserbelastung!D32)</f>
        <v>#DIV/0!</v>
      </c>
      <c r="M92" s="891"/>
      <c r="N92" s="271"/>
      <c r="O92" s="768"/>
      <c r="P92" s="253"/>
    </row>
    <row r="93" spans="2:16" ht="15" customHeight="1" x14ac:dyDescent="0.2">
      <c r="C93" s="247" t="e">
        <f>Grundlagen!AR130</f>
        <v>#VALUE!</v>
      </c>
      <c r="D93" s="279"/>
      <c r="E93" s="766"/>
      <c r="F93" s="281" t="str">
        <f>Grundlagen!AI130&amp;" mg/l"</f>
        <v>GUS mg/l</v>
      </c>
      <c r="G93" s="283" t="e">
        <f>Grundlagen!AS130</f>
        <v>#VALUE!</v>
      </c>
      <c r="H93" s="283"/>
      <c r="I93" s="283"/>
      <c r="J93" s="281"/>
      <c r="K93" s="281"/>
      <c r="L93" s="908" t="e">
        <f>IF(G93="","",IF(G93&gt;20,nicht,tragbar))</f>
        <v>#VALUE!</v>
      </c>
      <c r="M93" s="909"/>
      <c r="N93" s="272" t="str">
        <f>INDEX(Texte,150,$N$2)</f>
        <v>Grenzwert 20 mg/l</v>
      </c>
      <c r="O93" s="768"/>
      <c r="P93" s="253"/>
    </row>
    <row r="94" spans="2:16" ht="15" customHeight="1" x14ac:dyDescent="0.2">
      <c r="C94" s="247" t="e">
        <f>Grundlagen!AR129</f>
        <v>#VALUE!</v>
      </c>
      <c r="D94" s="279"/>
      <c r="E94" s="766"/>
      <c r="F94" s="281" t="str">
        <f>Grundlagen!AI129&amp;" mg/l"</f>
        <v>CSB mg/l</v>
      </c>
      <c r="G94" s="283" t="e">
        <f>Grundlagen!AS129</f>
        <v>#VALUE!</v>
      </c>
      <c r="H94" s="283" t="e">
        <f t="shared" si="0"/>
        <v>#VALUE!</v>
      </c>
      <c r="I94" s="283"/>
      <c r="J94" s="281"/>
      <c r="K94" s="281"/>
      <c r="L94" s="273"/>
      <c r="M94" s="273"/>
      <c r="N94" s="273"/>
      <c r="O94" s="768"/>
      <c r="P94" s="253"/>
    </row>
    <row r="95" spans="2:16" ht="15" customHeight="1" x14ac:dyDescent="0.2">
      <c r="B95" s="220" t="s">
        <v>734</v>
      </c>
      <c r="D95" s="264"/>
      <c r="E95" s="766"/>
      <c r="F95" s="273"/>
      <c r="G95" s="273"/>
      <c r="H95" s="273"/>
      <c r="I95" s="273"/>
      <c r="J95" s="273"/>
      <c r="K95" s="273"/>
      <c r="L95" s="273"/>
      <c r="M95" s="273"/>
      <c r="N95" s="273"/>
      <c r="O95" s="767"/>
      <c r="P95" s="253"/>
    </row>
    <row r="96" spans="2:16" ht="15" customHeight="1" x14ac:dyDescent="0.2">
      <c r="B96" s="236" t="s">
        <v>732</v>
      </c>
      <c r="C96" s="247" t="e">
        <f>Grundlagen!AK143</f>
        <v>#DIV/0!</v>
      </c>
      <c r="D96" s="279"/>
      <c r="E96" s="766"/>
      <c r="F96" s="898" t="str">
        <f>INDEX(Texte,154,$N$2)</f>
        <v>P-Fracht bei maximaler Fischbiomasse in der Anlage</v>
      </c>
      <c r="G96" s="898"/>
      <c r="H96" s="283" t="e">
        <f>Grundlagen!AL143</f>
        <v>#DIV/0!</v>
      </c>
      <c r="I96" s="267" t="str">
        <f>INDEX(Texte,155,$N$2)</f>
        <v>P gelöst g/Tag</v>
      </c>
      <c r="J96" s="907" t="str">
        <f>INDEX(Texte,157,$N$2)</f>
        <v>Voraussichtlich ist eine Phosphorfällung notwendig</v>
      </c>
      <c r="K96" s="907"/>
      <c r="L96" s="907"/>
      <c r="M96" s="907"/>
      <c r="N96" s="273"/>
      <c r="O96" s="767"/>
      <c r="P96" s="253"/>
    </row>
    <row r="97" spans="2:16" ht="15" customHeight="1" x14ac:dyDescent="0.2">
      <c r="B97" s="236" t="s">
        <v>731</v>
      </c>
      <c r="C97" s="247" t="e">
        <f>Grundlagen!AK144</f>
        <v>#DIV/0!</v>
      </c>
      <c r="D97" s="279"/>
      <c r="E97" s="766"/>
      <c r="F97" s="898"/>
      <c r="G97" s="898"/>
      <c r="H97" s="283" t="e">
        <f>Grundlagen!AL144</f>
        <v>#DIV/0!</v>
      </c>
      <c r="I97" s="267" t="str">
        <f>INDEX(Texte,156,$N$2)</f>
        <v>Gesamt-P g/Tag</v>
      </c>
      <c r="J97" s="907"/>
      <c r="K97" s="907"/>
      <c r="L97" s="907"/>
      <c r="M97" s="907"/>
      <c r="N97" s="273"/>
      <c r="O97" s="767"/>
      <c r="P97" s="253"/>
    </row>
    <row r="98" spans="2:16" ht="15" customHeight="1" x14ac:dyDescent="0.2">
      <c r="B98" s="220" t="s">
        <v>976</v>
      </c>
      <c r="D98" s="264"/>
      <c r="E98" s="766"/>
      <c r="F98" s="898"/>
      <c r="G98" s="898"/>
      <c r="H98" s="273"/>
      <c r="I98" s="273"/>
      <c r="J98" s="273"/>
      <c r="K98" s="273"/>
      <c r="L98" s="273"/>
      <c r="M98" s="273"/>
      <c r="N98" s="273"/>
      <c r="O98" s="767"/>
      <c r="P98" s="253"/>
    </row>
    <row r="99" spans="2:16" ht="15" customHeight="1" thickBot="1" x14ac:dyDescent="0.25">
      <c r="B99" s="236" t="s">
        <v>751</v>
      </c>
      <c r="C99" s="248" t="e">
        <f>IF(J27&gt;0,Grundlagen!AK148,C96*0.3)</f>
        <v>#DIV/0!</v>
      </c>
      <c r="D99" s="264"/>
      <c r="E99" s="766"/>
      <c r="F99" s="284" t="str">
        <f>INDEX(Texte,158,$N$2)</f>
        <v>Hinweise:</v>
      </c>
      <c r="G99" s="259"/>
      <c r="H99" s="259"/>
      <c r="I99" s="259"/>
      <c r="J99" s="259"/>
      <c r="K99" s="259"/>
      <c r="L99" s="259"/>
      <c r="M99" s="259"/>
      <c r="N99" s="259"/>
      <c r="O99" s="767"/>
      <c r="P99" s="253"/>
    </row>
    <row r="100" spans="2:16" ht="15" customHeight="1" x14ac:dyDescent="0.2">
      <c r="B100" s="236" t="s">
        <v>752</v>
      </c>
      <c r="C100" s="248" t="e">
        <f>IF(J27&gt;0,Grundlagen!AK149,C97*0.3)</f>
        <v>#DIV/0!</v>
      </c>
      <c r="D100" s="264"/>
      <c r="E100" s="766"/>
      <c r="F100" s="899" t="str">
        <f>INDEX(Texte,159,$N$2)</f>
        <v>Sie haben nicht alle Muss-Felder ausgefüllt, dadurch kann eine schlechtere Bewertung resultieren. Füllen Sie alle Muss-Felder aus !</v>
      </c>
      <c r="G100" s="900"/>
      <c r="H100" s="900"/>
      <c r="I100" s="900"/>
      <c r="J100" s="900"/>
      <c r="K100" s="900"/>
      <c r="L100" s="900"/>
      <c r="M100" s="900"/>
      <c r="N100" s="901"/>
      <c r="O100" s="767"/>
      <c r="P100" s="253"/>
    </row>
    <row r="101" spans="2:16" ht="15" customHeight="1" thickBot="1" x14ac:dyDescent="0.25">
      <c r="B101" s="444" t="s">
        <v>903</v>
      </c>
      <c r="C101" s="829">
        <f>J12</f>
        <v>0</v>
      </c>
      <c r="D101" s="264"/>
      <c r="E101" s="766"/>
      <c r="F101" s="902"/>
      <c r="G101" s="903"/>
      <c r="H101" s="903"/>
      <c r="I101" s="903"/>
      <c r="J101" s="903"/>
      <c r="K101" s="903"/>
      <c r="L101" s="903"/>
      <c r="M101" s="903"/>
      <c r="N101" s="904"/>
      <c r="O101" s="767"/>
      <c r="P101" s="253"/>
    </row>
    <row r="102" spans="2:16" ht="15" customHeight="1" x14ac:dyDescent="0.2">
      <c r="B102" s="444" t="s">
        <v>901</v>
      </c>
      <c r="C102" s="232">
        <f>IF(C101&gt;0,IF(C100&gt;C101,1,0),0)</f>
        <v>0</v>
      </c>
      <c r="D102" s="264"/>
      <c r="E102" s="766"/>
      <c r="F102" s="947" t="str">
        <f>IF((C108+C107)&gt;0,IF(Gewaesserbelastung!A64&lt;4,Gewaesserbelastung!B64,""),"")</f>
        <v/>
      </c>
      <c r="G102" s="948"/>
      <c r="H102" s="948"/>
      <c r="I102" s="948"/>
      <c r="J102" s="948"/>
      <c r="K102" s="948"/>
      <c r="L102" s="948"/>
      <c r="M102" s="948"/>
      <c r="N102" s="949"/>
      <c r="O102" s="767"/>
      <c r="P102" s="253"/>
    </row>
    <row r="103" spans="2:16" ht="15" customHeight="1" x14ac:dyDescent="0.2">
      <c r="D103" s="264"/>
      <c r="E103" s="766"/>
      <c r="F103" s="932" t="str">
        <f>IF((C108+C107)&gt;0,IF(Gewaesserbelastung!A64&gt;1,IF(Gewaesserbelastung!A65=2,Gewaesserbelastung!B65,""),""),"")</f>
        <v/>
      </c>
      <c r="G103" s="933"/>
      <c r="H103" s="933"/>
      <c r="I103" s="933"/>
      <c r="J103" s="933"/>
      <c r="K103" s="933"/>
      <c r="L103" s="933"/>
      <c r="M103" s="933"/>
      <c r="N103" s="934"/>
      <c r="O103" s="767"/>
      <c r="P103" s="253"/>
    </row>
    <row r="104" spans="2:16" ht="15" customHeight="1" x14ac:dyDescent="0.2">
      <c r="B104" s="249" t="s">
        <v>1053</v>
      </c>
      <c r="C104" s="250">
        <f>C12+C43+C55</f>
        <v>3</v>
      </c>
      <c r="D104" s="264"/>
      <c r="E104" s="766"/>
      <c r="F104" s="932" t="str">
        <f>IF((C108+C107)&gt;0,IF(Gewaesserbelastung!A66=1,Gewaesserbelastung!B66,""),"")</f>
        <v/>
      </c>
      <c r="G104" s="933"/>
      <c r="H104" s="933"/>
      <c r="I104" s="933"/>
      <c r="J104" s="933"/>
      <c r="K104" s="933"/>
      <c r="L104" s="933"/>
      <c r="M104" s="933"/>
      <c r="N104" s="934"/>
      <c r="O104" s="767"/>
      <c r="P104" s="253"/>
    </row>
    <row r="105" spans="2:16" ht="15" customHeight="1" x14ac:dyDescent="0.2">
      <c r="D105" s="264"/>
      <c r="E105" s="766"/>
      <c r="F105" s="935" t="str">
        <f>IF((C108+C107)&gt;0,IF(Gewaesserbelastung!A67&lt;3,Gewaesserbelastung!B67,""),"")</f>
        <v/>
      </c>
      <c r="G105" s="936"/>
      <c r="H105" s="936"/>
      <c r="I105" s="936"/>
      <c r="J105" s="936"/>
      <c r="K105" s="936"/>
      <c r="L105" s="936"/>
      <c r="M105" s="936"/>
      <c r="N105" s="937"/>
      <c r="O105" s="767"/>
      <c r="P105" s="253"/>
    </row>
    <row r="106" spans="2:16" ht="15" customHeight="1" thickBot="1" x14ac:dyDescent="0.25">
      <c r="B106" s="220" t="s">
        <v>780</v>
      </c>
      <c r="C106" s="251">
        <f>COUNTIF(L87:M93,tragbar)</f>
        <v>0</v>
      </c>
      <c r="D106" s="264"/>
      <c r="E106" s="766"/>
      <c r="F106" s="893" t="str">
        <f>IF((C108+C107)&gt;0,IF(Gewaesserbelastung!A64=4,IF(Gewaesserbelastung!A65=1,IF(Gewaesserbelastung!A67&gt;1,Gewaesserbelastung!B68,""),""),""),"")</f>
        <v/>
      </c>
      <c r="G106" s="894"/>
      <c r="H106" s="894"/>
      <c r="I106" s="894"/>
      <c r="J106" s="894"/>
      <c r="K106" s="894"/>
      <c r="L106" s="894"/>
      <c r="M106" s="894"/>
      <c r="N106" s="895"/>
      <c r="O106" s="767"/>
      <c r="P106" s="253"/>
    </row>
    <row r="107" spans="2:16" ht="15" customHeight="1" x14ac:dyDescent="0.2">
      <c r="B107" s="220" t="s">
        <v>781</v>
      </c>
      <c r="C107" s="252">
        <f>COUNTIF(L87:M93,kritisch)</f>
        <v>0</v>
      </c>
      <c r="D107" s="264"/>
      <c r="E107" s="766"/>
      <c r="F107" s="273"/>
      <c r="G107" s="273"/>
      <c r="H107" s="273"/>
      <c r="I107" s="273"/>
      <c r="J107" s="273"/>
      <c r="K107" s="273"/>
      <c r="L107" s="273"/>
      <c r="M107" s="273"/>
      <c r="N107" s="273"/>
      <c r="O107" s="767"/>
      <c r="P107" s="253"/>
    </row>
    <row r="108" spans="2:16" ht="15" customHeight="1" thickBot="1" x14ac:dyDescent="0.25">
      <c r="B108" s="220" t="s">
        <v>782</v>
      </c>
      <c r="C108" s="252">
        <f>COUNTIF(L87:M93,nicht)</f>
        <v>0</v>
      </c>
      <c r="D108" s="279"/>
      <c r="E108" s="766"/>
      <c r="F108" s="905" t="str">
        <f>INDEX(Texte,169,$N$2)</f>
        <v>Zusammenfassende Beurteilung der Abwassereinleitung in den Bach:</v>
      </c>
      <c r="G108" s="905"/>
      <c r="H108" s="905"/>
      <c r="I108" s="905"/>
      <c r="J108" s="905"/>
      <c r="K108" s="905"/>
      <c r="L108" s="905"/>
      <c r="M108" s="905"/>
      <c r="N108" s="905"/>
      <c r="O108" s="767"/>
      <c r="P108" s="253"/>
    </row>
    <row r="109" spans="2:16" ht="15" customHeight="1" x14ac:dyDescent="0.2">
      <c r="B109" s="220" t="s">
        <v>357</v>
      </c>
      <c r="C109" s="232">
        <f>SUM(C106:C108)</f>
        <v>0</v>
      </c>
      <c r="D109" s="264"/>
      <c r="E109" s="766"/>
      <c r="F109" s="941" t="e">
        <f>VLOOKUP(1,Beurteilungstext,2,0)</f>
        <v>#N/A</v>
      </c>
      <c r="G109" s="942"/>
      <c r="H109" s="942"/>
      <c r="I109" s="942"/>
      <c r="J109" s="942"/>
      <c r="K109" s="942"/>
      <c r="L109" s="942"/>
      <c r="M109" s="942"/>
      <c r="N109" s="943"/>
      <c r="O109" s="767"/>
      <c r="P109" s="253"/>
    </row>
    <row r="110" spans="2:16" ht="15" customHeight="1" thickBot="1" x14ac:dyDescent="0.25">
      <c r="B110" s="220" t="s">
        <v>914</v>
      </c>
      <c r="C110" s="741">
        <f>Gewaesserbelastung!A70</f>
        <v>8</v>
      </c>
      <c r="D110" s="264"/>
      <c r="E110" s="766"/>
      <c r="F110" s="944"/>
      <c r="G110" s="945"/>
      <c r="H110" s="945"/>
      <c r="I110" s="945"/>
      <c r="J110" s="945"/>
      <c r="K110" s="945"/>
      <c r="L110" s="945"/>
      <c r="M110" s="945"/>
      <c r="N110" s="946"/>
      <c r="O110" s="767"/>
      <c r="P110" s="253"/>
    </row>
    <row r="111" spans="2:16" ht="15" customHeight="1" x14ac:dyDescent="0.2">
      <c r="B111" s="221"/>
      <c r="C111" s="221"/>
      <c r="D111" s="264"/>
      <c r="E111" s="766"/>
      <c r="F111" s="906"/>
      <c r="G111" s="906"/>
      <c r="H111" s="906"/>
      <c r="I111" s="906"/>
      <c r="J111" s="906"/>
      <c r="K111" s="906"/>
      <c r="L111" s="906"/>
      <c r="M111" s="906"/>
      <c r="N111" s="906"/>
      <c r="O111" s="767"/>
      <c r="P111" s="253"/>
    </row>
    <row r="112" spans="2:16" ht="15" customHeight="1" x14ac:dyDescent="0.2">
      <c r="B112" s="221"/>
      <c r="C112" s="221"/>
      <c r="D112" s="264"/>
      <c r="E112" s="766"/>
      <c r="F112" s="762"/>
      <c r="G112" s="762"/>
      <c r="H112" s="762"/>
      <c r="I112" s="762"/>
      <c r="J112" s="762"/>
      <c r="K112" s="762"/>
      <c r="L112" s="762"/>
      <c r="M112" s="762"/>
      <c r="N112" s="762"/>
      <c r="O112" s="767"/>
      <c r="P112" s="253"/>
    </row>
    <row r="113" spans="1:17" ht="15" customHeight="1" thickBot="1" x14ac:dyDescent="0.25">
      <c r="B113" s="221"/>
      <c r="C113" s="221"/>
      <c r="D113" s="264"/>
      <c r="E113" s="273"/>
      <c r="F113" s="259"/>
      <c r="G113" s="259"/>
      <c r="H113" s="259"/>
      <c r="I113" s="259"/>
      <c r="J113" s="259"/>
      <c r="K113" s="259"/>
      <c r="L113" s="259"/>
      <c r="M113" s="259"/>
      <c r="N113" s="259"/>
      <c r="O113" s="273"/>
      <c r="P113" s="253"/>
    </row>
    <row r="114" spans="1:17" ht="15" customHeight="1" thickTop="1" x14ac:dyDescent="0.2">
      <c r="B114" s="221"/>
      <c r="C114" s="221"/>
      <c r="D114" s="285"/>
      <c r="E114" s="277"/>
      <c r="F114" s="286"/>
      <c r="G114" s="286"/>
      <c r="H114" s="286"/>
      <c r="I114" s="286"/>
      <c r="J114" s="286"/>
      <c r="K114" s="286"/>
      <c r="L114" s="286"/>
      <c r="M114" s="286"/>
      <c r="N114" s="286"/>
      <c r="O114" s="277"/>
      <c r="P114" s="277"/>
    </row>
    <row r="115" spans="1:17" ht="15" customHeight="1" x14ac:dyDescent="0.25">
      <c r="B115" s="221"/>
      <c r="C115" s="221"/>
      <c r="D115" s="264"/>
      <c r="E115" s="273"/>
      <c r="F115" s="254" t="str">
        <f>INDEX(Texte,170,$N$2)</f>
        <v>8. Auflagen und Bedingungen</v>
      </c>
      <c r="G115" s="259"/>
      <c r="H115" s="259"/>
      <c r="I115" s="259"/>
      <c r="J115" s="259"/>
      <c r="K115" s="259"/>
      <c r="L115" s="259"/>
      <c r="M115" s="259"/>
      <c r="N115" s="259"/>
      <c r="O115" s="273"/>
      <c r="P115" s="253"/>
    </row>
    <row r="116" spans="1:17" ht="15" customHeight="1" x14ac:dyDescent="0.2">
      <c r="B116" s="221"/>
      <c r="C116" s="221"/>
      <c r="D116" s="264"/>
      <c r="E116" s="273"/>
      <c r="F116" s="253"/>
      <c r="G116" s="259"/>
      <c r="H116" s="259"/>
      <c r="I116" s="259"/>
      <c r="J116" s="259"/>
      <c r="K116" s="259"/>
      <c r="L116" s="259"/>
      <c r="M116" s="259"/>
      <c r="N116" s="259"/>
      <c r="O116" s="273"/>
      <c r="P116" s="253"/>
    </row>
    <row r="117" spans="1:17" ht="15" customHeight="1" x14ac:dyDescent="0.2">
      <c r="B117" s="221"/>
      <c r="C117" s="221"/>
      <c r="D117" s="264"/>
      <c r="E117" s="273"/>
      <c r="F117" s="897" t="str">
        <f>INDEX(Texte,171,$N$2)</f>
        <v>Im Blatt Anleitung sind die wichtigsten Auflagen und Bedingungen für eine Bewilligung aufgeführt. Unten finden Sie zusätzliche generelle und projektspezifische Auflagen, die in einer allfälligen Bewilligung zu erwarten sind. Diese sind nicht abschliessend, je nach Situation können weitere hinzukommen.</v>
      </c>
      <c r="G117" s="897"/>
      <c r="H117" s="897"/>
      <c r="I117" s="897"/>
      <c r="J117" s="897"/>
      <c r="K117" s="897"/>
      <c r="L117" s="897"/>
      <c r="M117" s="897"/>
      <c r="N117" s="897"/>
      <c r="O117" s="273"/>
      <c r="P117" s="253"/>
    </row>
    <row r="118" spans="1:17" ht="15" customHeight="1" x14ac:dyDescent="0.2">
      <c r="B118" s="221"/>
      <c r="C118" s="221"/>
      <c r="D118" s="264"/>
      <c r="E118" s="273"/>
      <c r="F118" s="897"/>
      <c r="G118" s="897"/>
      <c r="H118" s="897"/>
      <c r="I118" s="897"/>
      <c r="J118" s="897"/>
      <c r="K118" s="897"/>
      <c r="L118" s="897"/>
      <c r="M118" s="897"/>
      <c r="N118" s="897"/>
      <c r="O118" s="273"/>
      <c r="P118" s="253"/>
    </row>
    <row r="119" spans="1:17" ht="15" customHeight="1" x14ac:dyDescent="0.2">
      <c r="B119" s="221"/>
      <c r="C119" s="221"/>
      <c r="D119" s="264"/>
      <c r="E119" s="273"/>
      <c r="F119" s="897"/>
      <c r="G119" s="897"/>
      <c r="H119" s="897"/>
      <c r="I119" s="897"/>
      <c r="J119" s="897"/>
      <c r="K119" s="897"/>
      <c r="L119" s="897"/>
      <c r="M119" s="897"/>
      <c r="N119" s="897"/>
      <c r="O119" s="273"/>
      <c r="P119" s="253"/>
    </row>
    <row r="120" spans="1:17" ht="15" customHeight="1" x14ac:dyDescent="0.2">
      <c r="B120" s="221"/>
      <c r="C120" s="221"/>
      <c r="D120" s="264"/>
      <c r="E120" s="273"/>
      <c r="F120" s="896" t="str">
        <f>INDEX(Texte,172,$N$2)</f>
        <v>Generelle Auflagen und Bedingungen:</v>
      </c>
      <c r="G120" s="896"/>
      <c r="H120" s="896"/>
      <c r="I120" s="896"/>
      <c r="J120" s="896"/>
      <c r="K120" s="896"/>
      <c r="L120" s="896"/>
      <c r="M120" s="896"/>
      <c r="N120" s="896"/>
      <c r="O120" s="273"/>
      <c r="P120" s="253"/>
    </row>
    <row r="121" spans="1:17" ht="24.95" customHeight="1" x14ac:dyDescent="0.2">
      <c r="B121" s="221"/>
      <c r="C121" s="221"/>
      <c r="D121" s="264"/>
      <c r="E121" s="273"/>
      <c r="F121" s="929" t="str">
        <f>INDEX(Texte,173,$N$2)</f>
        <v>Die eingereichten Angaben und Unterlagen sind verbindlich. Änderungen am Projekt oder Ausführungen, die nicht den eingereichten Unterlagen entsprechen, bedürfen der Zustimmung von uwe.</v>
      </c>
      <c r="G121" s="930"/>
      <c r="H121" s="930"/>
      <c r="I121" s="930"/>
      <c r="J121" s="930"/>
      <c r="K121" s="930"/>
      <c r="L121" s="930"/>
      <c r="M121" s="930"/>
      <c r="N121" s="931"/>
      <c r="O121" s="273"/>
      <c r="P121" s="253"/>
    </row>
    <row r="122" spans="1:17" s="444" customFormat="1" ht="24.95" customHeight="1" x14ac:dyDescent="0.2">
      <c r="A122" s="758"/>
      <c r="D122" s="257"/>
      <c r="E122" s="281"/>
      <c r="F122" s="929" t="str">
        <f>INDEX(Texte,174,$N$2)</f>
        <v>In Fischzuchtanlagen darf nur phosphorarmes Futtermittel verwendet werden.</v>
      </c>
      <c r="G122" s="930"/>
      <c r="H122" s="930"/>
      <c r="I122" s="930"/>
      <c r="J122" s="930"/>
      <c r="K122" s="930"/>
      <c r="L122" s="930"/>
      <c r="M122" s="930"/>
      <c r="N122" s="931"/>
      <c r="O122" s="281"/>
      <c r="P122" s="257"/>
      <c r="Q122" s="758"/>
    </row>
    <row r="123" spans="1:17" s="760" customFormat="1" ht="24.95" customHeight="1" x14ac:dyDescent="0.2">
      <c r="A123" s="759"/>
      <c r="D123" s="257"/>
      <c r="E123" s="769"/>
      <c r="F123" s="929" t="str">
        <f>INDEX(Texte,175,$N$2)</f>
        <v>Schlämme aus der Entschlammung oder der Feststoffabtrennung müssen landwirtschaftlich verwertet werden oder in eine Biogasanlage oder in den Faulturm einer Kläranlage gebracht werden.</v>
      </c>
      <c r="G123" s="930"/>
      <c r="H123" s="930"/>
      <c r="I123" s="930"/>
      <c r="J123" s="930"/>
      <c r="K123" s="930"/>
      <c r="L123" s="930"/>
      <c r="M123" s="930"/>
      <c r="N123" s="931"/>
      <c r="O123" s="769"/>
      <c r="P123" s="268"/>
      <c r="Q123" s="759"/>
    </row>
    <row r="124" spans="1:17" ht="24.95" customHeight="1" x14ac:dyDescent="0.2">
      <c r="B124" s="444"/>
      <c r="C124" s="240"/>
      <c r="D124" s="264"/>
      <c r="E124" s="273"/>
      <c r="F124" s="929" t="str">
        <f>INDEX(Texte,176,$N$2)</f>
        <v>Die Gewässerbelastung durch das Abwasser der Fischzuchtanlage muss überprüft werden. D.h. im abgeleiteten Abwasser sind regelmässig Analysen durchzuführen (organische Stoffe, Nährstoffe, Gesamt ungelöste Stoffe). Die Details werden in der Bewilligung geregelt.</v>
      </c>
      <c r="G124" s="930"/>
      <c r="H124" s="930"/>
      <c r="I124" s="930"/>
      <c r="J124" s="930"/>
      <c r="K124" s="930"/>
      <c r="L124" s="930"/>
      <c r="M124" s="930"/>
      <c r="N124" s="931"/>
      <c r="O124" s="273"/>
      <c r="P124" s="253"/>
    </row>
    <row r="125" spans="1:17" ht="24.95" customHeight="1" x14ac:dyDescent="0.2">
      <c r="B125" s="444"/>
      <c r="C125" s="240"/>
      <c r="D125" s="264"/>
      <c r="E125" s="273"/>
      <c r="F125" s="929" t="str">
        <f>INDEX(Texte,177,$N$2)</f>
        <v>Es ist ein Betriebsprotokoll zu führen, worin unter anderem die produzierte Fischmenge, der Verbrauch an Futtermitteln, die anfallenden Schlammmengen und deren Entsorgung etc. festgehalten werden.</v>
      </c>
      <c r="G125" s="930"/>
      <c r="H125" s="930"/>
      <c r="I125" s="930"/>
      <c r="J125" s="930"/>
      <c r="K125" s="930"/>
      <c r="L125" s="930"/>
      <c r="M125" s="930"/>
      <c r="N125" s="931"/>
      <c r="O125" s="273"/>
      <c r="P125" s="253"/>
    </row>
    <row r="126" spans="1:17" ht="24.95" customHeight="1" x14ac:dyDescent="0.2">
      <c r="B126" s="444"/>
      <c r="C126" s="240"/>
      <c r="D126" s="264"/>
      <c r="E126" s="273"/>
      <c r="F126" s="929" t="str">
        <f>INDEX(Texte,178,$N$2)</f>
        <v>Störungen und Abweichungen vom Normalbetrieb sind unverzüglich zu beheben und ausserordentliche Ereignisse sind uwe zu melden.</v>
      </c>
      <c r="G126" s="930"/>
      <c r="H126" s="930"/>
      <c r="I126" s="930"/>
      <c r="J126" s="930"/>
      <c r="K126" s="930"/>
      <c r="L126" s="930"/>
      <c r="M126" s="930"/>
      <c r="N126" s="931"/>
      <c r="O126" s="273"/>
      <c r="P126" s="253"/>
    </row>
    <row r="127" spans="1:17" ht="24.95" customHeight="1" x14ac:dyDescent="0.2">
      <c r="B127" s="444"/>
      <c r="C127" s="240"/>
      <c r="D127" s="264"/>
      <c r="E127" s="273"/>
      <c r="F127" s="929" t="str">
        <f>INDEX(Texte,179,$N$2)</f>
        <v>Die Weiterverarbeitung (Schlachtung etc.) der Fische ist hier nicht berücksichtigt. Daraus können sich zusätzliche Auflagen ergeben.</v>
      </c>
      <c r="G127" s="930"/>
      <c r="H127" s="930"/>
      <c r="I127" s="930"/>
      <c r="J127" s="930"/>
      <c r="K127" s="930"/>
      <c r="L127" s="930"/>
      <c r="M127" s="930"/>
      <c r="N127" s="931"/>
      <c r="O127" s="273"/>
      <c r="P127" s="253"/>
    </row>
    <row r="128" spans="1:17" ht="15" customHeight="1" x14ac:dyDescent="0.2">
      <c r="B128" s="221"/>
      <c r="C128" s="221"/>
      <c r="D128" s="264"/>
      <c r="E128" s="273"/>
      <c r="F128" s="761" t="str">
        <f>INDEX(Texte,180,$N$2)</f>
        <v>Spezifische Auflagen und Bedingungen:</v>
      </c>
      <c r="G128" s="273"/>
      <c r="H128" s="273"/>
      <c r="I128" s="761" t="str">
        <f>G18</f>
        <v>c) Kreislaufanlage</v>
      </c>
      <c r="J128" s="273"/>
      <c r="K128" s="273"/>
      <c r="L128" s="273"/>
      <c r="M128" s="273"/>
      <c r="N128" s="273"/>
      <c r="O128" s="273"/>
      <c r="P128" s="253"/>
    </row>
    <row r="129" spans="1:17" ht="24.95" customHeight="1" x14ac:dyDescent="0.2">
      <c r="B129" s="750" t="s">
        <v>942</v>
      </c>
      <c r="C129" s="750">
        <v>1</v>
      </c>
      <c r="D129" s="264"/>
      <c r="E129" s="273"/>
      <c r="F129" s="926" t="str">
        <f>IF(ISBLANK(VLOOKUP(G18,Zusatzauflagen,2)),"",VLOOKUP(G18,Zusatzauflagen,2))</f>
        <v/>
      </c>
      <c r="G129" s="927"/>
      <c r="H129" s="927"/>
      <c r="I129" s="927"/>
      <c r="J129" s="927"/>
      <c r="K129" s="927"/>
      <c r="L129" s="927"/>
      <c r="M129" s="927"/>
      <c r="N129" s="928"/>
      <c r="O129" s="273"/>
      <c r="P129" s="253"/>
    </row>
    <row r="130" spans="1:17" ht="24.95" customHeight="1" x14ac:dyDescent="0.2">
      <c r="C130" s="750">
        <v>2</v>
      </c>
      <c r="D130" s="264"/>
      <c r="E130" s="273"/>
      <c r="F130" s="926" t="str">
        <f>IF(ISBLANK(VLOOKUP(G18,Zusatzauflagen,3)),"",VLOOKUP(G18,Zusatzauflagen,3))</f>
        <v>Die Abwasserableitung darf bei Kreislaufanlagen erst nach der internen Wasseraufbereitung (Biofilter) erfolgen.</v>
      </c>
      <c r="G130" s="927"/>
      <c r="H130" s="927"/>
      <c r="I130" s="927"/>
      <c r="J130" s="927"/>
      <c r="K130" s="927"/>
      <c r="L130" s="927"/>
      <c r="M130" s="927"/>
      <c r="N130" s="928"/>
      <c r="O130" s="273"/>
      <c r="P130" s="253"/>
    </row>
    <row r="131" spans="1:17" ht="24.95" customHeight="1" x14ac:dyDescent="0.2">
      <c r="C131" s="750">
        <v>3</v>
      </c>
      <c r="D131" s="264"/>
      <c r="E131" s="273"/>
      <c r="F131" s="926" t="str">
        <f>IF(ISBLANK(VLOOKUP(G18,Zusatzauflagen,4)),"",VLOOKUP(G18,Zusatzauflagen,4))</f>
        <v>Das Klarwasser aus der Schlammentwässerung und allfälliges Presswasser muss über den Feststoffilter und den Biofilter geführt werden.</v>
      </c>
      <c r="G131" s="927"/>
      <c r="H131" s="927"/>
      <c r="I131" s="927"/>
      <c r="J131" s="927"/>
      <c r="K131" s="927"/>
      <c r="L131" s="927"/>
      <c r="M131" s="927"/>
      <c r="N131" s="928"/>
      <c r="O131" s="273"/>
      <c r="P131" s="253"/>
    </row>
    <row r="132" spans="1:17" s="246" customFormat="1" ht="24.95" customHeight="1" x14ac:dyDescent="0.2">
      <c r="A132" s="288"/>
      <c r="C132" s="751">
        <v>4</v>
      </c>
      <c r="D132" s="270"/>
      <c r="E132" s="282"/>
      <c r="F132" s="926" t="str">
        <f>IF(ISBLANK(VLOOKUP(G18,Zusatzauflagen,5)),"",VLOOKUP(G18,Zusatzauflagen,5))</f>
        <v>Es dürfen keinerlei andere Abwässer z.B. aus Reinigung, Desinfektion oder Behandlung mit Medikamenten etc. ins Gewässer eingeleitet werden.</v>
      </c>
      <c r="G132" s="927"/>
      <c r="H132" s="927"/>
      <c r="I132" s="927"/>
      <c r="J132" s="927"/>
      <c r="K132" s="927"/>
      <c r="L132" s="927"/>
      <c r="M132" s="927"/>
      <c r="N132" s="928"/>
      <c r="O132" s="282"/>
      <c r="P132" s="270"/>
      <c r="Q132" s="288"/>
    </row>
    <row r="133" spans="1:17" ht="15" customHeight="1" x14ac:dyDescent="0.2">
      <c r="D133" s="264"/>
      <c r="E133" s="273"/>
      <c r="F133" s="259"/>
      <c r="G133" s="259"/>
      <c r="H133" s="259"/>
      <c r="I133" s="259"/>
      <c r="J133" s="259"/>
      <c r="K133" s="259"/>
      <c r="L133" s="259"/>
      <c r="M133" s="259"/>
      <c r="N133" s="776"/>
      <c r="O133" s="273"/>
      <c r="P133" s="253"/>
    </row>
    <row r="134" spans="1:17" ht="15" hidden="1" customHeight="1" x14ac:dyDescent="0.2"/>
    <row r="135" spans="1:17" hidden="1" x14ac:dyDescent="0.2"/>
    <row r="136" spans="1:17" hidden="1" x14ac:dyDescent="0.2">
      <c r="F136" s="445" t="s">
        <v>802</v>
      </c>
    </row>
    <row r="137" spans="1:17" hidden="1" x14ac:dyDescent="0.2">
      <c r="F137" s="221" t="s">
        <v>902</v>
      </c>
      <c r="G137" s="749">
        <v>1</v>
      </c>
      <c r="H137" s="749">
        <v>2</v>
      </c>
      <c r="I137" s="749">
        <v>3</v>
      </c>
      <c r="J137" s="749">
        <v>4</v>
      </c>
    </row>
    <row r="138" spans="1:17" hidden="1" x14ac:dyDescent="0.2">
      <c r="F138" s="483" t="str">
        <f>INDEX(Texte,181,$N$2)</f>
        <v>a) Durchflussanlage</v>
      </c>
      <c r="G138" s="772" t="str">
        <f>INDEX(Texte,182,$N$2)</f>
        <v>Schlämme aus der Entschlammung oder der Feststoffabtrennung müssen landwirtschaftlich verwertet werden oder in eine Biogasanlage gebracht werden.</v>
      </c>
      <c r="H138" s="774" t="str">
        <f>INDEX(Texte,183,$N$2)</f>
        <v>Es dürfen keinerlei andere Abwässer z.B. aus Reinigung, Desinfektion oder Behandlung mit Medikamenten etc. ins Gewässer eingeleitet werden.</v>
      </c>
      <c r="I138" s="773">
        <f>INDEX(Texte,184,$N$2)</f>
        <v>0</v>
      </c>
      <c r="J138" s="773">
        <f>INDEX(Texte,185,$N$2)</f>
        <v>0</v>
      </c>
    </row>
    <row r="139" spans="1:17" hidden="1" x14ac:dyDescent="0.2">
      <c r="F139" s="483" t="str">
        <f>INDEX(Texte,186,$N$2)</f>
        <v>b) Teichanlage</v>
      </c>
      <c r="G139" s="773" t="str">
        <f>INDEX(Texte,187,$N$2)</f>
        <v>Der Schlamm aus Teichanlagen darf nicht in ein Gewässer eingeleitet werden, er ist landwirtschaftlich zu verwerten.</v>
      </c>
      <c r="H139" s="774" t="str">
        <f>INDEX(Texte,188,$N$2)</f>
        <v>Es dürfen keinerlei andere Abwässer z.B. aus Reinigung, Desinfektion oder Behandlung mit Medikamenten etc. ins Gewässer eingeleitet werden.</v>
      </c>
      <c r="I139" s="773">
        <f>INDEX(Texte,189,$N$2)</f>
        <v>0</v>
      </c>
      <c r="J139" s="773">
        <f>INDEX(Texte,190,$N$2)</f>
        <v>0</v>
      </c>
    </row>
    <row r="140" spans="1:17" hidden="1" x14ac:dyDescent="0.2">
      <c r="F140" s="483" t="str">
        <f>INDEX(Texte,191,$N$2)</f>
        <v>c) Kreislaufanlage</v>
      </c>
      <c r="G140" s="771" t="str">
        <f>IF(C102=1,INDEX(Texte,192,$N$2),"")</f>
        <v/>
      </c>
      <c r="H140" s="773" t="str">
        <f>INDEX(Texte,193,$N$2)</f>
        <v>Die Abwasserableitung darf bei Kreislaufanlagen erst nach der internen Wasseraufbereitung (Biofilter) erfolgen.</v>
      </c>
      <c r="I140" s="773" t="str">
        <f>INDEX(Texte,194,$N$2)</f>
        <v>Das Klarwasser aus der Schlammentwässerung und allfälliges Presswasser muss über den Feststoffilter und den Biofilter geführt werden.</v>
      </c>
      <c r="J140" s="774" t="str">
        <f>INDEX(Texte,195,$N$2)</f>
        <v>Es dürfen keinerlei andere Abwässer z.B. aus Reinigung, Desinfektion oder Behandlung mit Medikamenten etc. ins Gewässer eingeleitet werden.</v>
      </c>
    </row>
    <row r="141" spans="1:17" hidden="1" x14ac:dyDescent="0.2"/>
    <row r="142" spans="1:17" hidden="1" x14ac:dyDescent="0.2"/>
    <row r="143" spans="1:17" hidden="1" x14ac:dyDescent="0.2"/>
    <row r="144" spans="1:17"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t="12.75" hidden="1" customHeight="1" x14ac:dyDescent="0.2"/>
  </sheetData>
  <sheetProtection password="D65F" sheet="1" objects="1" scenarios="1"/>
  <customSheetViews>
    <customSheetView guid="{2A376E74-9008-4CC4-AF78-5E9088D4FA1D}" showPageBreaks="1" showGridLines="0" showRowCol="0" printArea="1" hiddenRows="1" hiddenColumns="1">
      <rowBreaks count="1" manualBreakCount="1">
        <brk id="71" min="3" max="15" man="1"/>
      </rowBreaks>
      <pageMargins left="0.70866141732283472" right="0.70866141732283472" top="0.78740157480314965" bottom="0.78740157480314965" header="0.31496062992125984" footer="0.31496062992125984"/>
      <printOptions horizontalCentered="1" verticalCentered="1"/>
      <pageSetup paperSize="9" scale="56" fitToHeight="2" orientation="portrait" horizontalDpi="4294967293" verticalDpi="0" r:id="rId1"/>
      <headerFooter>
        <oddFooter>&amp;Luwe Luzern März 2016&amp;C&amp;D&amp;R&amp;Z&amp;F</oddFooter>
      </headerFooter>
    </customSheetView>
  </customSheetViews>
  <mergeCells count="71">
    <mergeCell ref="G11:I11"/>
    <mergeCell ref="G12:I12"/>
    <mergeCell ref="F33:K34"/>
    <mergeCell ref="L41:N41"/>
    <mergeCell ref="G18:H18"/>
    <mergeCell ref="I18:N18"/>
    <mergeCell ref="I19:N19"/>
    <mergeCell ref="J25:L25"/>
    <mergeCell ref="G19:H19"/>
    <mergeCell ref="G2:M2"/>
    <mergeCell ref="F109:N110"/>
    <mergeCell ref="F102:N102"/>
    <mergeCell ref="F103:N103"/>
    <mergeCell ref="F44:I44"/>
    <mergeCell ref="J75:N75"/>
    <mergeCell ref="F75:I75"/>
    <mergeCell ref="J80:N80"/>
    <mergeCell ref="J79:N79"/>
    <mergeCell ref="G6:H6"/>
    <mergeCell ref="G7:H7"/>
    <mergeCell ref="I8:J8"/>
    <mergeCell ref="G10:J10"/>
    <mergeCell ref="G13:J13"/>
    <mergeCell ref="I20:N20"/>
    <mergeCell ref="L27:N28"/>
    <mergeCell ref="F121:N121"/>
    <mergeCell ref="F122:N122"/>
    <mergeCell ref="F104:N104"/>
    <mergeCell ref="F105:N105"/>
    <mergeCell ref="H69:I69"/>
    <mergeCell ref="F70:G70"/>
    <mergeCell ref="F79:G79"/>
    <mergeCell ref="H79:I79"/>
    <mergeCell ref="F80:G80"/>
    <mergeCell ref="H73:N73"/>
    <mergeCell ref="H70:I70"/>
    <mergeCell ref="J70:N70"/>
    <mergeCell ref="H71:N71"/>
    <mergeCell ref="F131:N131"/>
    <mergeCell ref="F132:N132"/>
    <mergeCell ref="F123:N123"/>
    <mergeCell ref="F124:N124"/>
    <mergeCell ref="F129:N129"/>
    <mergeCell ref="F130:N130"/>
    <mergeCell ref="F125:N125"/>
    <mergeCell ref="F126:N126"/>
    <mergeCell ref="F127:N127"/>
    <mergeCell ref="J69:N69"/>
    <mergeCell ref="F35:N36"/>
    <mergeCell ref="L29:N30"/>
    <mergeCell ref="L33:N34"/>
    <mergeCell ref="J51:M51"/>
    <mergeCell ref="L61:M62"/>
    <mergeCell ref="I64:J64"/>
    <mergeCell ref="F69:G69"/>
    <mergeCell ref="L88:M88"/>
    <mergeCell ref="H72:N72"/>
    <mergeCell ref="F106:N106"/>
    <mergeCell ref="F120:N120"/>
    <mergeCell ref="F117:N119"/>
    <mergeCell ref="F96:G98"/>
    <mergeCell ref="F100:N101"/>
    <mergeCell ref="F108:N108"/>
    <mergeCell ref="F111:N111"/>
    <mergeCell ref="J96:M97"/>
    <mergeCell ref="L93:M93"/>
    <mergeCell ref="L92:M92"/>
    <mergeCell ref="L91:M91"/>
    <mergeCell ref="L89:M89"/>
    <mergeCell ref="L87:M87"/>
    <mergeCell ref="J84:L85"/>
  </mergeCells>
  <conditionalFormatting sqref="L29">
    <cfRule type="expression" dxfId="174" priority="360">
      <formula>IF($J$28=0,TRUE,FALSE)</formula>
    </cfRule>
    <cfRule type="expression" dxfId="173" priority="361">
      <formula>IF($J$28/J28&lt;0.7,TRUE,FALSE)</formula>
    </cfRule>
  </conditionalFormatting>
  <conditionalFormatting sqref="L39">
    <cfRule type="expression" dxfId="172" priority="356">
      <formula>IF($J$39=0,TRUE,FALSE)</formula>
    </cfRule>
    <cfRule type="expression" dxfId="171" priority="357">
      <formula>IF($J$28=0,TRUE,FALSE)</formula>
    </cfRule>
  </conditionalFormatting>
  <conditionalFormatting sqref="H71">
    <cfRule type="expression" dxfId="170" priority="100">
      <formula>IF($C$18=1,FALSE,TRUE)</formula>
    </cfRule>
    <cfRule type="expression" dxfId="169" priority="354">
      <formula>IF($C$71=1,TRUE,FALSE)</formula>
    </cfRule>
  </conditionalFormatting>
  <conditionalFormatting sqref="L41">
    <cfRule type="expression" dxfId="168" priority="365">
      <formula>IF($C$18=3,FALSE,TRUE)</formula>
    </cfRule>
    <cfRule type="expression" dxfId="167" priority="367">
      <formula>IF($J$41&lt;$J$39*0.1,TRUE,FALSE)</formula>
    </cfRule>
  </conditionalFormatting>
  <conditionalFormatting sqref="F44">
    <cfRule type="expression" dxfId="166" priority="350">
      <formula>IF($C$43&lt;8,TRUE,FALSE)</formula>
    </cfRule>
  </conditionalFormatting>
  <conditionalFormatting sqref="J54">
    <cfRule type="expression" dxfId="165" priority="349">
      <formula>IF($C$55&lt;3,TRUE,FALSE)</formula>
    </cfRule>
  </conditionalFormatting>
  <conditionalFormatting sqref="L87">
    <cfRule type="expression" dxfId="164" priority="126">
      <formula>ISERROR(L87)</formula>
    </cfRule>
    <cfRule type="expression" dxfId="163" priority="343">
      <formula>IF(L87=nicht,TRUE,FALSE)</formula>
    </cfRule>
    <cfRule type="expression" dxfId="162" priority="344">
      <formula>IF(L87=kritisch,TRUE,FALSE)</formula>
    </cfRule>
    <cfRule type="expression" dxfId="161" priority="345">
      <formula>IF(L87=tragbar,TRUE,FALSE)</formula>
    </cfRule>
  </conditionalFormatting>
  <conditionalFormatting sqref="L93">
    <cfRule type="expression" dxfId="160" priority="109">
      <formula>ISERROR(L93)</formula>
    </cfRule>
    <cfRule type="expression" dxfId="159" priority="329">
      <formula>IF(L93=nicht,TRUE,FALSE)</formula>
    </cfRule>
    <cfRule type="expression" dxfId="158" priority="330">
      <formula>IF(L93=tragbar,TRUE,FALSE)</formula>
    </cfRule>
  </conditionalFormatting>
  <conditionalFormatting sqref="H74:N74">
    <cfRule type="expression" dxfId="157" priority="310">
      <formula>IF($C$18=2,TRUE,FALSE)</formula>
    </cfRule>
  </conditionalFormatting>
  <conditionalFormatting sqref="H72">
    <cfRule type="expression" dxfId="156" priority="295">
      <formula>IF($C$18=3,TRUE,FALSE)</formula>
    </cfRule>
  </conditionalFormatting>
  <conditionalFormatting sqref="H73">
    <cfRule type="expression" dxfId="155" priority="294">
      <formula>IF($C$18=2,TRUE,FALSE)</formula>
    </cfRule>
  </conditionalFormatting>
  <conditionalFormatting sqref="H87">
    <cfRule type="expression" dxfId="154" priority="158">
      <formula>ISERROR(H87)</formula>
    </cfRule>
    <cfRule type="expression" dxfId="153" priority="259">
      <formula>IF(H87&lt;0.5,TRUE,FALSE)</formula>
    </cfRule>
    <cfRule type="expression" dxfId="152" priority="260">
      <formula>IF(H87&lt;10,TRUE,FALSE)</formula>
    </cfRule>
  </conditionalFormatting>
  <conditionalFormatting sqref="H88">
    <cfRule type="expression" dxfId="151" priority="155">
      <formula>ISERROR(H88)</formula>
    </cfRule>
    <cfRule type="expression" dxfId="150" priority="156">
      <formula>IF(H88&lt;0.5,TRUE,FALSE)</formula>
    </cfRule>
    <cfRule type="expression" dxfId="149" priority="157">
      <formula>IF(H88&lt;10,TRUE,FALSE)</formula>
    </cfRule>
  </conditionalFormatting>
  <conditionalFormatting sqref="H89">
    <cfRule type="expression" dxfId="148" priority="152">
      <formula>ISERROR(H89)</formula>
    </cfRule>
    <cfRule type="expression" dxfId="147" priority="153">
      <formula>IF(H89&lt;0.5,TRUE,FALSE)</formula>
    </cfRule>
    <cfRule type="expression" dxfId="146" priority="154">
      <formula>IF(H89&lt;10,TRUE,FALSE)</formula>
    </cfRule>
  </conditionalFormatting>
  <conditionalFormatting sqref="H90">
    <cfRule type="expression" dxfId="145" priority="149">
      <formula>ISERROR(H90)</formula>
    </cfRule>
    <cfRule type="expression" dxfId="144" priority="150">
      <formula>IF(H90&lt;0.5,TRUE,FALSE)</formula>
    </cfRule>
    <cfRule type="expression" dxfId="143" priority="151">
      <formula>IF(H90&lt;10,TRUE,FALSE)</formula>
    </cfRule>
  </conditionalFormatting>
  <conditionalFormatting sqref="H91">
    <cfRule type="expression" dxfId="142" priority="146">
      <formula>ISERROR(H91)</formula>
    </cfRule>
    <cfRule type="expression" dxfId="141" priority="147">
      <formula>IF(H91&lt;0.5,TRUE,FALSE)</formula>
    </cfRule>
    <cfRule type="expression" dxfId="140" priority="148">
      <formula>IF(H91&lt;10,TRUE,FALSE)</formula>
    </cfRule>
  </conditionalFormatting>
  <conditionalFormatting sqref="H92">
    <cfRule type="expression" dxfId="139" priority="143">
      <formula>ISERROR(H92)</formula>
    </cfRule>
    <cfRule type="expression" dxfId="138" priority="144">
      <formula>IF(H92&lt;0.5,TRUE,FALSE)</formula>
    </cfRule>
    <cfRule type="expression" dxfId="137" priority="145">
      <formula>IF(H92&lt;10,TRUE,FALSE)</formula>
    </cfRule>
  </conditionalFormatting>
  <conditionalFormatting sqref="H93">
    <cfRule type="expression" dxfId="136" priority="140">
      <formula>ISERROR(H93)</formula>
    </cfRule>
    <cfRule type="expression" dxfId="135" priority="141">
      <formula>IF(H93&lt;0.5,TRUE,FALSE)</formula>
    </cfRule>
    <cfRule type="expression" dxfId="134" priority="142">
      <formula>IF(H93&lt;10,TRUE,FALSE)</formula>
    </cfRule>
  </conditionalFormatting>
  <conditionalFormatting sqref="H94">
    <cfRule type="expression" dxfId="133" priority="137">
      <formula>ISERROR(H94)</formula>
    </cfRule>
    <cfRule type="expression" dxfId="132" priority="138">
      <formula>IF(H94&lt;0.5,TRUE,FALSE)</formula>
    </cfRule>
    <cfRule type="expression" dxfId="131" priority="139">
      <formula>IF(H94&lt;10,TRUE,FALSE)</formula>
    </cfRule>
  </conditionalFormatting>
  <conditionalFormatting sqref="L88">
    <cfRule type="expression" dxfId="130" priority="122">
      <formula>ISERROR(L88)</formula>
    </cfRule>
    <cfRule type="expression" dxfId="129" priority="123">
      <formula>IF(L88=nicht,TRUE,FALSE)</formula>
    </cfRule>
    <cfRule type="expression" dxfId="128" priority="124">
      <formula>IF(L88=kritisch,TRUE,FALSE)</formula>
    </cfRule>
    <cfRule type="expression" dxfId="127" priority="125">
      <formula>IF(L88=tragbar,TRUE,FALSE)</formula>
    </cfRule>
  </conditionalFormatting>
  <conditionalFormatting sqref="L89">
    <cfRule type="expression" dxfId="126" priority="118">
      <formula>ISERROR(L89)</formula>
    </cfRule>
    <cfRule type="expression" dxfId="125" priority="119">
      <formula>IF(L89=nicht,TRUE,FALSE)</formula>
    </cfRule>
    <cfRule type="expression" dxfId="124" priority="120">
      <formula>IF(L89=kritisch,TRUE,FALSE)</formula>
    </cfRule>
    <cfRule type="expression" dxfId="123" priority="121">
      <formula>IF(L89=tragbar,TRUE,FALSE)</formula>
    </cfRule>
  </conditionalFormatting>
  <conditionalFormatting sqref="L91">
    <cfRule type="expression" dxfId="122" priority="114">
      <formula>ISERROR(L91)</formula>
    </cfRule>
    <cfRule type="expression" dxfId="121" priority="115">
      <formula>IF(L91=nicht,TRUE,FALSE)</formula>
    </cfRule>
    <cfRule type="expression" dxfId="120" priority="116">
      <formula>IF(L91=kritisch,TRUE,FALSE)</formula>
    </cfRule>
    <cfRule type="expression" dxfId="119" priority="117">
      <formula>IF(L91=tragbar,TRUE,FALSE)</formula>
    </cfRule>
  </conditionalFormatting>
  <conditionalFormatting sqref="L92">
    <cfRule type="expression" dxfId="118" priority="110">
      <formula>ISERROR(L92)</formula>
    </cfRule>
    <cfRule type="expression" dxfId="117" priority="111">
      <formula>IF(L92=nicht,TRUE,FALSE)</formula>
    </cfRule>
    <cfRule type="expression" dxfId="116" priority="112">
      <formula>IF(L92=kritisch,TRUE,FALSE)</formula>
    </cfRule>
    <cfRule type="expression" dxfId="115" priority="113">
      <formula>IF(L92=tragbar,TRUE,FALSE)</formula>
    </cfRule>
  </conditionalFormatting>
  <conditionalFormatting sqref="J42">
    <cfRule type="expression" dxfId="114" priority="104">
      <formula>IF($J$42=0,TRUE,FALSE)</formula>
    </cfRule>
    <cfRule type="expression" dxfId="113" priority="105">
      <formula>IF($J$42&lt;0.1,TRUE,FALSE)</formula>
    </cfRule>
    <cfRule type="expression" dxfId="112" priority="106">
      <formula>IF($J$42&lt;0.5,TRUE,FALSE)</formula>
    </cfRule>
    <cfRule type="expression" dxfId="111" priority="107">
      <formula>IF($J$42&lt;5,TRUE,FALSE)</formula>
    </cfRule>
    <cfRule type="expression" dxfId="110" priority="108">
      <formula>IF($J$42&lt;10,TRUE,FALSE)</formula>
    </cfRule>
  </conditionalFormatting>
  <conditionalFormatting sqref="L32">
    <cfRule type="expression" dxfId="109" priority="431">
      <formula>IF($C$18=2,TRUE,FALSE)</formula>
    </cfRule>
    <cfRule type="expression" dxfId="108" priority="432">
      <formula>IF(J28=0,TRUE,FALSE)</formula>
    </cfRule>
  </conditionalFormatting>
  <conditionalFormatting sqref="L37">
    <cfRule type="expression" dxfId="107" priority="433">
      <formula>IF($C$18=2,TRUE,FALSE)</formula>
    </cfRule>
    <cfRule type="expression" dxfId="106" priority="434">
      <formula>IF(J32=0,TRUE,FALSE)</formula>
    </cfRule>
  </conditionalFormatting>
  <conditionalFormatting sqref="H69:H70 J69:N70">
    <cfRule type="expression" dxfId="105" priority="103">
      <formula>IF($C$18=1,FALSE,TRUE)</formula>
    </cfRule>
  </conditionalFormatting>
  <conditionalFormatting sqref="H80:I80">
    <cfRule type="expression" dxfId="104" priority="101">
      <formula>IF($C$18=2,TRUE,FALSE)</formula>
    </cfRule>
  </conditionalFormatting>
  <conditionalFormatting sqref="G88">
    <cfRule type="expression" dxfId="103" priority="446">
      <formula>ISERROR(G88)</formula>
    </cfRule>
    <cfRule type="expression" dxfId="102" priority="447">
      <formula>IF(G88&lt;0.5,TRUE,FALSE)</formula>
    </cfRule>
    <cfRule type="expression" dxfId="101" priority="448">
      <formula>IF(G88&lt;10,TRUE,FALSE)</formula>
    </cfRule>
    <cfRule type="expression" dxfId="100" priority="449">
      <formula>IF(G88&gt;(1+$C$86)*C88,TRUE,FALSE)</formula>
    </cfRule>
    <cfRule type="expression" dxfId="99" priority="450">
      <formula>IF(G88&lt;(1-$C$86)*C88,TRUE,FALSE)</formula>
    </cfRule>
  </conditionalFormatting>
  <conditionalFormatting sqref="G87">
    <cfRule type="expression" dxfId="98" priority="95">
      <formula>ISERROR(G87)</formula>
    </cfRule>
    <cfRule type="expression" dxfId="97" priority="96">
      <formula>IF(G87&lt;0.5,TRUE,FALSE)</formula>
    </cfRule>
    <cfRule type="expression" dxfId="96" priority="97">
      <formula>IF(G87&lt;10,TRUE,FALSE)</formula>
    </cfRule>
    <cfRule type="expression" dxfId="95" priority="98">
      <formula>IF(G87&gt;(1+$C$86)*C87,TRUE,FALSE)</formula>
    </cfRule>
    <cfRule type="expression" dxfId="94" priority="99">
      <formula>IF(G87&lt;(1-$C$86)*C87,TRUE,FALSE)</formula>
    </cfRule>
  </conditionalFormatting>
  <conditionalFormatting sqref="G89">
    <cfRule type="expression" dxfId="93" priority="90">
      <formula>ISERROR(G89)</formula>
    </cfRule>
    <cfRule type="expression" dxfId="92" priority="91">
      <formula>IF(G89&lt;0.5,TRUE,FALSE)</formula>
    </cfRule>
    <cfRule type="expression" dxfId="91" priority="92">
      <formula>IF(G89&lt;10,TRUE,FALSE)</formula>
    </cfRule>
    <cfRule type="expression" dxfId="90" priority="93">
      <formula>IF(G89&gt;(1+$C$86)*C89,TRUE,FALSE)</formula>
    </cfRule>
    <cfRule type="expression" dxfId="89" priority="94">
      <formula>IF(G89&lt;(1-$C$86)*C89,TRUE,FALSE)</formula>
    </cfRule>
  </conditionalFormatting>
  <conditionalFormatting sqref="G90">
    <cfRule type="expression" dxfId="88" priority="85">
      <formula>ISERROR(G90)</formula>
    </cfRule>
    <cfRule type="expression" dxfId="87" priority="86">
      <formula>IF(G90&lt;0.5,TRUE,FALSE)</formula>
    </cfRule>
    <cfRule type="expression" dxfId="86" priority="87">
      <formula>IF(G90&lt;10,TRUE,FALSE)</formula>
    </cfRule>
    <cfRule type="expression" dxfId="85" priority="88">
      <formula>IF(G90&gt;(1+$C$86)*C90,TRUE,FALSE)</formula>
    </cfRule>
    <cfRule type="expression" dxfId="84" priority="89">
      <formula>IF(G90&lt;(1-$C$86)*C90,TRUE,FALSE)</formula>
    </cfRule>
  </conditionalFormatting>
  <conditionalFormatting sqref="G91">
    <cfRule type="expression" dxfId="83" priority="80">
      <formula>ISERROR(G91)</formula>
    </cfRule>
    <cfRule type="expression" dxfId="82" priority="81">
      <formula>IF(G91&lt;0.5,TRUE,FALSE)</formula>
    </cfRule>
    <cfRule type="expression" dxfId="81" priority="82">
      <formula>IF(G91&lt;10,TRUE,FALSE)</formula>
    </cfRule>
    <cfRule type="expression" dxfId="80" priority="83">
      <formula>IF(G91&gt;(1+$C$86)*C91,TRUE,FALSE)</formula>
    </cfRule>
    <cfRule type="expression" dxfId="79" priority="84">
      <formula>IF(G91&lt;(1-$C$86)*C91,TRUE,FALSE)</formula>
    </cfRule>
  </conditionalFormatting>
  <conditionalFormatting sqref="G92">
    <cfRule type="expression" dxfId="78" priority="75">
      <formula>ISERROR(G92)</formula>
    </cfRule>
    <cfRule type="expression" dxfId="77" priority="76">
      <formula>IF(G92&lt;0.5,TRUE,FALSE)</formula>
    </cfRule>
    <cfRule type="expression" dxfId="76" priority="77">
      <formula>IF(G92&lt;10,TRUE,FALSE)</formula>
    </cfRule>
    <cfRule type="expression" dxfId="75" priority="78">
      <formula>IF(G92&gt;(1+$C$86)*C92,TRUE,FALSE)</formula>
    </cfRule>
    <cfRule type="expression" dxfId="74" priority="79">
      <formula>IF(G92&lt;(1-$C$86)*C92,TRUE,FALSE)</formula>
    </cfRule>
  </conditionalFormatting>
  <conditionalFormatting sqref="G93">
    <cfRule type="expression" dxfId="73" priority="70">
      <formula>ISERROR(G93)</formula>
    </cfRule>
    <cfRule type="expression" dxfId="72" priority="71">
      <formula>IF(G93&lt;0.5,TRUE,FALSE)</formula>
    </cfRule>
    <cfRule type="expression" dxfId="71" priority="72">
      <formula>IF(G93&lt;10,TRUE,FALSE)</formula>
    </cfRule>
    <cfRule type="expression" dxfId="70" priority="73">
      <formula>IF(G93&gt;(1+$C$86)*C93,TRUE,FALSE)</formula>
    </cfRule>
    <cfRule type="expression" dxfId="69" priority="74">
      <formula>IF(G93&lt;(1-$C$86)*C93,TRUE,FALSE)</formula>
    </cfRule>
  </conditionalFormatting>
  <conditionalFormatting sqref="G94">
    <cfRule type="expression" dxfId="68" priority="65">
      <formula>ISERROR(G94)</formula>
    </cfRule>
    <cfRule type="expression" dxfId="67" priority="66">
      <formula>IF(G94&lt;0.5,TRUE,FALSE)</formula>
    </cfRule>
    <cfRule type="expression" dxfId="66" priority="67">
      <formula>IF(G94&lt;10,TRUE,FALSE)</formula>
    </cfRule>
    <cfRule type="expression" dxfId="65" priority="68">
      <formula>IF(G94&gt;(1+$C$86)*C94,TRUE,FALSE)</formula>
    </cfRule>
    <cfRule type="expression" dxfId="64" priority="69">
      <formula>IF(G94&lt;(1-$C$86)*C94,TRUE,FALSE)</formula>
    </cfRule>
  </conditionalFormatting>
  <conditionalFormatting sqref="H96">
    <cfRule type="expression" dxfId="63" priority="60">
      <formula>ISERROR(H96)</formula>
    </cfRule>
    <cfRule type="expression" dxfId="62" priority="61">
      <formula>IF(H96&lt;0.5,TRUE,FALSE)</formula>
    </cfRule>
    <cfRule type="expression" dxfId="61" priority="62">
      <formula>IF(H96&lt;10,TRUE,FALSE)</formula>
    </cfRule>
    <cfRule type="expression" dxfId="60" priority="63">
      <formula>IF(H96&gt;(1+$C$86)*C96,TRUE,FALSE)</formula>
    </cfRule>
    <cfRule type="expression" dxfId="59" priority="64">
      <formula>IF(H96&lt;(1-$C$86)*C96,TRUE,FALSE)</formula>
    </cfRule>
  </conditionalFormatting>
  <conditionalFormatting sqref="H97">
    <cfRule type="expression" dxfId="58" priority="55">
      <formula>ISERROR(H97)</formula>
    </cfRule>
    <cfRule type="expression" dxfId="57" priority="56">
      <formula>IF(H97&lt;0.5,TRUE,FALSE)</formula>
    </cfRule>
    <cfRule type="expression" dxfId="56" priority="57">
      <formula>IF(H97&lt;10,TRUE,FALSE)</formula>
    </cfRule>
    <cfRule type="expression" dxfId="55" priority="58">
      <formula>IF(H97&gt;(1+$C$86)*C97,TRUE,FALSE)</formula>
    </cfRule>
    <cfRule type="expression" dxfId="54" priority="59">
      <formula>IF(H97&lt;(1-$C$86)*C97,TRUE,FALSE)</formula>
    </cfRule>
  </conditionalFormatting>
  <conditionalFormatting sqref="F100">
    <cfRule type="expression" dxfId="53" priority="451">
      <formula>IF($C$104&lt;18,TRUE,FALSE)</formula>
    </cfRule>
  </conditionalFormatting>
  <conditionalFormatting sqref="F109:N110">
    <cfRule type="expression" dxfId="52" priority="53">
      <formula>ISERROR($F$109)</formula>
    </cfRule>
  </conditionalFormatting>
  <conditionalFormatting sqref="F129:N129">
    <cfRule type="cellIs" dxfId="51" priority="9" operator="equal">
      <formula>0</formula>
    </cfRule>
    <cfRule type="expression" dxfId="50" priority="48">
      <formula>ISERROR(F129)</formula>
    </cfRule>
  </conditionalFormatting>
  <conditionalFormatting sqref="G13">
    <cfRule type="expression" dxfId="49" priority="452">
      <formula>IF($C$12&lt;7,TRUE,FALSE)</formula>
    </cfRule>
  </conditionalFormatting>
  <conditionalFormatting sqref="G12 J12">
    <cfRule type="expression" dxfId="48" priority="47">
      <formula>IF($C$11&gt;1,TRUE,FALSE)</formula>
    </cfRule>
  </conditionalFormatting>
  <conditionalFormatting sqref="J96">
    <cfRule type="expression" dxfId="47" priority="46">
      <formula>IF($C$102=1,TRUE,FALSE)</formula>
    </cfRule>
  </conditionalFormatting>
  <conditionalFormatting sqref="I87">
    <cfRule type="expression" dxfId="46" priority="43">
      <formula>ISERROR(I87)</formula>
    </cfRule>
    <cfRule type="expression" dxfId="45" priority="44">
      <formula>IF(I87&lt;0.5,TRUE,FALSE)</formula>
    </cfRule>
    <cfRule type="expression" dxfId="44" priority="45">
      <formula>IF(I87&lt;10,TRUE,FALSE)</formula>
    </cfRule>
  </conditionalFormatting>
  <conditionalFormatting sqref="I88">
    <cfRule type="expression" dxfId="43" priority="40">
      <formula>ISERROR(I88)</formula>
    </cfRule>
    <cfRule type="expression" dxfId="42" priority="41">
      <formula>IF(I88&lt;0.5,TRUE,FALSE)</formula>
    </cfRule>
    <cfRule type="expression" dxfId="41" priority="42">
      <formula>IF(I88&lt;10,TRUE,FALSE)</formula>
    </cfRule>
  </conditionalFormatting>
  <conditionalFormatting sqref="I89">
    <cfRule type="expression" dxfId="40" priority="37">
      <formula>ISERROR(I89)</formula>
    </cfRule>
    <cfRule type="expression" dxfId="39" priority="38">
      <formula>IF(I89&lt;0.5,TRUE,FALSE)</formula>
    </cfRule>
    <cfRule type="expression" dxfId="38" priority="39">
      <formula>IF(I89&lt;10,TRUE,FALSE)</formula>
    </cfRule>
  </conditionalFormatting>
  <conditionalFormatting sqref="I90">
    <cfRule type="expression" dxfId="37" priority="34">
      <formula>ISERROR(I90)</formula>
    </cfRule>
    <cfRule type="expression" dxfId="36" priority="35">
      <formula>IF(I90&lt;0.5,TRUE,FALSE)</formula>
    </cfRule>
    <cfRule type="expression" dxfId="35" priority="36">
      <formula>IF(I90&lt;10,TRUE,FALSE)</formula>
    </cfRule>
  </conditionalFormatting>
  <conditionalFormatting sqref="I91">
    <cfRule type="expression" dxfId="34" priority="31">
      <formula>ISERROR(I91)</formula>
    </cfRule>
    <cfRule type="expression" dxfId="33" priority="32">
      <formula>IF(I91&lt;0.5,TRUE,FALSE)</formula>
    </cfRule>
    <cfRule type="expression" dxfId="32" priority="33">
      <formula>IF(I91&lt;10,TRUE,FALSE)</formula>
    </cfRule>
  </conditionalFormatting>
  <conditionalFormatting sqref="I92">
    <cfRule type="expression" dxfId="31" priority="28">
      <formula>ISERROR(I92)</formula>
    </cfRule>
    <cfRule type="expression" dxfId="30" priority="29">
      <formula>IF(I92&lt;0.5,TRUE,FALSE)</formula>
    </cfRule>
    <cfRule type="expression" dxfId="29" priority="30">
      <formula>IF(I92&lt;10,TRUE,FALSE)</formula>
    </cfRule>
  </conditionalFormatting>
  <conditionalFormatting sqref="I93">
    <cfRule type="expression" dxfId="28" priority="25">
      <formula>ISERROR(I93)</formula>
    </cfRule>
    <cfRule type="expression" dxfId="27" priority="26">
      <formula>IF(I93&lt;0.5,TRUE,FALSE)</formula>
    </cfRule>
    <cfRule type="expression" dxfId="26" priority="27">
      <formula>IF(I93&lt;10,TRUE,FALSE)</formula>
    </cfRule>
  </conditionalFormatting>
  <conditionalFormatting sqref="I94">
    <cfRule type="expression" dxfId="25" priority="22">
      <formula>ISERROR(I94)</formula>
    </cfRule>
    <cfRule type="expression" dxfId="24" priority="23">
      <formula>IF(I94&lt;0.5,TRUE,FALSE)</formula>
    </cfRule>
    <cfRule type="expression" dxfId="23" priority="24">
      <formula>IF(I94&lt;10,TRUE,FALSE)</formula>
    </cfRule>
  </conditionalFormatting>
  <conditionalFormatting sqref="L27">
    <cfRule type="expression" dxfId="22" priority="455">
      <formula>IF($J$28=0,TRUE,FALSE)</formula>
    </cfRule>
    <cfRule type="expression" dxfId="21" priority="456">
      <formula>IF($J$28/J27&lt;0.7,TRUE,FALSE)</formula>
    </cfRule>
  </conditionalFormatting>
  <conditionalFormatting sqref="I18:N18">
    <cfRule type="expression" dxfId="20" priority="21">
      <formula>ISERROR($I$18)</formula>
    </cfRule>
  </conditionalFormatting>
  <conditionalFormatting sqref="I19:N19">
    <cfRule type="expression" dxfId="19" priority="20">
      <formula>ISERROR($I$19)</formula>
    </cfRule>
  </conditionalFormatting>
  <conditionalFormatting sqref="I20:N20">
    <cfRule type="expression" dxfId="18" priority="19">
      <formula>ISERROR($I$20)</formula>
    </cfRule>
  </conditionalFormatting>
  <conditionalFormatting sqref="J69:N69">
    <cfRule type="expression" dxfId="17" priority="18">
      <formula>ISERROR($J$69)</formula>
    </cfRule>
  </conditionalFormatting>
  <conditionalFormatting sqref="J70:N70">
    <cfRule type="expression" dxfId="16" priority="17">
      <formula>ISERROR($J$70)</formula>
    </cfRule>
  </conditionalFormatting>
  <conditionalFormatting sqref="J79:N79">
    <cfRule type="expression" dxfId="15" priority="16">
      <formula>ISERROR($J$80)</formula>
    </cfRule>
  </conditionalFormatting>
  <conditionalFormatting sqref="J80:N80">
    <cfRule type="expression" dxfId="14" priority="15">
      <formula>ISERROR($J$80)</formula>
    </cfRule>
  </conditionalFormatting>
  <conditionalFormatting sqref="F130:N130">
    <cfRule type="cellIs" dxfId="13" priority="8" operator="equal">
      <formula>0</formula>
    </cfRule>
    <cfRule type="expression" dxfId="12" priority="14">
      <formula>ISERROR($F$130)</formula>
    </cfRule>
  </conditionalFormatting>
  <conditionalFormatting sqref="F131:N131">
    <cfRule type="cellIs" dxfId="11" priority="7" operator="equal">
      <formula>0</formula>
    </cfRule>
    <cfRule type="expression" dxfId="10" priority="13">
      <formula>ISERROR($F$131)</formula>
    </cfRule>
  </conditionalFormatting>
  <conditionalFormatting sqref="F132:N132">
    <cfRule type="cellIs" dxfId="9" priority="6" operator="equal">
      <formula>0</formula>
    </cfRule>
    <cfRule type="expression" dxfId="8" priority="12">
      <formula>ISERROR($F$132)</formula>
    </cfRule>
  </conditionalFormatting>
  <conditionalFormatting sqref="I128">
    <cfRule type="cellIs" dxfId="7" priority="11" operator="equal">
      <formula>0</formula>
    </cfRule>
  </conditionalFormatting>
  <conditionalFormatting sqref="L12">
    <cfRule type="cellIs" dxfId="6" priority="10" operator="equal">
      <formula>0</formula>
    </cfRule>
  </conditionalFormatting>
  <conditionalFormatting sqref="F106:N106">
    <cfRule type="cellIs" dxfId="5" priority="5" operator="equal">
      <formula>0</formula>
    </cfRule>
  </conditionalFormatting>
  <conditionalFormatting sqref="F105:N105">
    <cfRule type="cellIs" dxfId="4" priority="4" operator="equal">
      <formula>0</formula>
    </cfRule>
  </conditionalFormatting>
  <conditionalFormatting sqref="F104:N104">
    <cfRule type="cellIs" dxfId="3" priority="3" operator="equal">
      <formula>0</formula>
    </cfRule>
  </conditionalFormatting>
  <conditionalFormatting sqref="F103:N103">
    <cfRule type="cellIs" dxfId="2" priority="2" operator="equal">
      <formula>0</formula>
    </cfRule>
  </conditionalFormatting>
  <conditionalFormatting sqref="F102:N102">
    <cfRule type="cellIs" dxfId="1" priority="1" operator="equal">
      <formula>0</formula>
    </cfRule>
  </conditionalFormatting>
  <dataValidations count="3">
    <dataValidation type="decimal" allowBlank="1" showErrorMessage="1" errorTitle="Fehler" error="Der eingetragene Energiegehalt kann nicht stimmen. Er muss zwischen 16 und 24 MJ/kg betragen." sqref="K38">
      <formula1>16</formula1>
      <formula2>24</formula2>
    </dataValidation>
    <dataValidation type="custom" allowBlank="1" showInputMessage="1" showErrorMessage="1" errorTitle="Ablaufwassermenge" error="Bei Kreislaufanlagen muss die Ablaufwassermenge mindestens 10% des Anlagevolumens betragen" sqref="J41">
      <formula1>IF(C18=3,IF(J39*0.1&lt;=J41,TRUE,FALSE),TRUE)</formula1>
    </dataValidation>
    <dataValidation type="decimal" allowBlank="1" showErrorMessage="1" errorTitle="Fehler" error="Der eingetragene Energiegehalt kann nicht stimmen. Er muss zwischen 10 und 25 MJ/kg betragen." sqref="J31">
      <formula1>10</formula1>
      <formula2>25</formula2>
    </dataValidation>
  </dataValidations>
  <printOptions horizontalCentered="1" verticalCentered="1"/>
  <pageMargins left="0.70866141732283472" right="0.70866141732283472" top="0.78740157480314965" bottom="0.78740157480314965" header="0.31496062992125984" footer="0.31496062992125984"/>
  <pageSetup paperSize="9" scale="54" fitToHeight="2" orientation="portrait" horizontalDpi="4294967293" verticalDpi="0" r:id="rId2"/>
  <headerFooter>
    <oddFooter>&amp;Luwe Luzern März 2016&amp;C&amp;D&amp;R&amp;Z&amp;F</oddFooter>
  </headerFooter>
  <rowBreaks count="1" manualBreakCount="1">
    <brk id="73" min="3"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027" r:id="rId5" name="Drop Down 3">
              <controlPr defaultSize="0" autoLine="0" autoPict="0">
                <anchor moveWithCells="1">
                  <from>
                    <xdr:col>13</xdr:col>
                    <xdr:colOff>619125</xdr:colOff>
                    <xdr:row>1</xdr:row>
                    <xdr:rowOff>9525</xdr:rowOff>
                  </from>
                  <to>
                    <xdr:col>13</xdr:col>
                    <xdr:colOff>1181100</xdr:colOff>
                    <xdr:row>1</xdr:row>
                    <xdr:rowOff>247650</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6</xdr:col>
                    <xdr:colOff>0</xdr:colOff>
                    <xdr:row>9</xdr:row>
                    <xdr:rowOff>180975</xdr:rowOff>
                  </from>
                  <to>
                    <xdr:col>8</xdr:col>
                    <xdr:colOff>790575</xdr:colOff>
                    <xdr:row>11</xdr:row>
                    <xdr:rowOff>0</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6</xdr:col>
                    <xdr:colOff>0</xdr:colOff>
                    <xdr:row>17</xdr:row>
                    <xdr:rowOff>9525</xdr:rowOff>
                  </from>
                  <to>
                    <xdr:col>7</xdr:col>
                    <xdr:colOff>1238250</xdr:colOff>
                    <xdr:row>17</xdr:row>
                    <xdr:rowOff>457200</xdr:rowOff>
                  </to>
                </anchor>
              </controlPr>
            </control>
          </mc:Choice>
        </mc:AlternateContent>
        <mc:AlternateContent xmlns:mc="http://schemas.openxmlformats.org/markup-compatibility/2006">
          <mc:Choice Requires="x14">
            <control shapeId="1032" r:id="rId8" name="Drop Down 8">
              <controlPr defaultSize="0" autoLine="0" autoPict="0">
                <anchor moveWithCells="1">
                  <from>
                    <xdr:col>6</xdr:col>
                    <xdr:colOff>0</xdr:colOff>
                    <xdr:row>18</xdr:row>
                    <xdr:rowOff>9525</xdr:rowOff>
                  </from>
                  <to>
                    <xdr:col>7</xdr:col>
                    <xdr:colOff>1238250</xdr:colOff>
                    <xdr:row>18</xdr:row>
                    <xdr:rowOff>457200</xdr:rowOff>
                  </to>
                </anchor>
              </controlPr>
            </control>
          </mc:Choice>
        </mc:AlternateContent>
        <mc:AlternateContent xmlns:mc="http://schemas.openxmlformats.org/markup-compatibility/2006">
          <mc:Choice Requires="x14">
            <control shapeId="1034" r:id="rId9" name="Drop Down 10">
              <controlPr defaultSize="0" autoLine="0" autoPict="0">
                <anchor moveWithCells="1">
                  <from>
                    <xdr:col>9</xdr:col>
                    <xdr:colOff>0</xdr:colOff>
                    <xdr:row>51</xdr:row>
                    <xdr:rowOff>161925</xdr:rowOff>
                  </from>
                  <to>
                    <xdr:col>10</xdr:col>
                    <xdr:colOff>0</xdr:colOff>
                    <xdr:row>53</xdr:row>
                    <xdr:rowOff>9525</xdr:rowOff>
                  </to>
                </anchor>
              </controlPr>
            </control>
          </mc:Choice>
        </mc:AlternateContent>
        <mc:AlternateContent xmlns:mc="http://schemas.openxmlformats.org/markup-compatibility/2006">
          <mc:Choice Requires="x14">
            <control shapeId="1035" r:id="rId10" name="Drop Down 11">
              <controlPr defaultSize="0" autoLine="0" autoPict="0">
                <anchor moveWithCells="1">
                  <from>
                    <xdr:col>11</xdr:col>
                    <xdr:colOff>0</xdr:colOff>
                    <xdr:row>57</xdr:row>
                    <xdr:rowOff>161925</xdr:rowOff>
                  </from>
                  <to>
                    <xdr:col>12</xdr:col>
                    <xdr:colOff>19050</xdr:colOff>
                    <xdr:row>59</xdr:row>
                    <xdr:rowOff>19050</xdr:rowOff>
                  </to>
                </anchor>
              </controlPr>
            </control>
          </mc:Choice>
        </mc:AlternateContent>
        <mc:AlternateContent xmlns:mc="http://schemas.openxmlformats.org/markup-compatibility/2006">
          <mc:Choice Requires="x14">
            <control shapeId="1037" r:id="rId11" name="Drop Down 13">
              <controlPr defaultSize="0" autoLine="0" autoPict="0">
                <anchor moveWithCells="1">
                  <from>
                    <xdr:col>7</xdr:col>
                    <xdr:colOff>19050</xdr:colOff>
                    <xdr:row>68</xdr:row>
                    <xdr:rowOff>19050</xdr:rowOff>
                  </from>
                  <to>
                    <xdr:col>8</xdr:col>
                    <xdr:colOff>1295400</xdr:colOff>
                    <xdr:row>68</xdr:row>
                    <xdr:rowOff>609600</xdr:rowOff>
                  </to>
                </anchor>
              </controlPr>
            </control>
          </mc:Choice>
        </mc:AlternateContent>
        <mc:AlternateContent xmlns:mc="http://schemas.openxmlformats.org/markup-compatibility/2006">
          <mc:Choice Requires="x14">
            <control shapeId="1038" r:id="rId12" name="Drop Down 14">
              <controlPr defaultSize="0" autoLine="0" autoPict="0">
                <anchor moveWithCells="1">
                  <from>
                    <xdr:col>7</xdr:col>
                    <xdr:colOff>19050</xdr:colOff>
                    <xdr:row>69</xdr:row>
                    <xdr:rowOff>19050</xdr:rowOff>
                  </from>
                  <to>
                    <xdr:col>8</xdr:col>
                    <xdr:colOff>1295400</xdr:colOff>
                    <xdr:row>69</xdr:row>
                    <xdr:rowOff>609600</xdr:rowOff>
                  </to>
                </anchor>
              </controlPr>
            </control>
          </mc:Choice>
        </mc:AlternateContent>
        <mc:AlternateContent xmlns:mc="http://schemas.openxmlformats.org/markup-compatibility/2006">
          <mc:Choice Requires="x14">
            <control shapeId="1041" r:id="rId13" name="Drop Down 17">
              <controlPr defaultSize="0" autoLine="0" autoPict="0">
                <anchor moveWithCells="1">
                  <from>
                    <xdr:col>7</xdr:col>
                    <xdr:colOff>9525</xdr:colOff>
                    <xdr:row>78</xdr:row>
                    <xdr:rowOff>9525</xdr:rowOff>
                  </from>
                  <to>
                    <xdr:col>8</xdr:col>
                    <xdr:colOff>1285875</xdr:colOff>
                    <xdr:row>78</xdr:row>
                    <xdr:rowOff>619125</xdr:rowOff>
                  </to>
                </anchor>
              </controlPr>
            </control>
          </mc:Choice>
        </mc:AlternateContent>
        <mc:AlternateContent xmlns:mc="http://schemas.openxmlformats.org/markup-compatibility/2006">
          <mc:Choice Requires="x14">
            <control shapeId="1043" r:id="rId14" name="Drop Down 19">
              <controlPr defaultSize="0" autoLine="0" autoPict="0">
                <anchor moveWithCells="1">
                  <from>
                    <xdr:col>7</xdr:col>
                    <xdr:colOff>9525</xdr:colOff>
                    <xdr:row>79</xdr:row>
                    <xdr:rowOff>9525</xdr:rowOff>
                  </from>
                  <to>
                    <xdr:col>8</xdr:col>
                    <xdr:colOff>1285875</xdr:colOff>
                    <xdr:row>79</xdr:row>
                    <xdr:rowOff>619125</xdr:rowOff>
                  </to>
                </anchor>
              </controlPr>
            </control>
          </mc:Choice>
        </mc:AlternateContent>
        <mc:AlternateContent xmlns:mc="http://schemas.openxmlformats.org/markup-compatibility/2006">
          <mc:Choice Requires="x14">
            <control shapeId="1044" r:id="rId15" name="Drop Down 20">
              <controlPr defaultSize="0" autoLine="0" autoPict="0">
                <anchor moveWithCells="1">
                  <from>
                    <xdr:col>11</xdr:col>
                    <xdr:colOff>19050</xdr:colOff>
                    <xdr:row>6</xdr:row>
                    <xdr:rowOff>0</xdr:rowOff>
                  </from>
                  <to>
                    <xdr:col>11</xdr:col>
                    <xdr:colOff>1152525</xdr:colOff>
                    <xdr:row>7</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8" id="{4DFE289E-3893-49A0-9DC3-BF5179CC904E}">
            <xm:f>IF($F$109=Gewaesserbelastung!$B$58,TRUE,FALSE)</xm:f>
            <x14:dxf>
              <fill>
                <patternFill>
                  <bgColor rgb="FF92D050"/>
                </patternFill>
              </fill>
            </x14:dxf>
          </x14:cfRule>
          <xm:sqref>F109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I321"/>
  <sheetViews>
    <sheetView zoomScaleNormal="100" workbookViewId="0"/>
  </sheetViews>
  <sheetFormatPr baseColWidth="10" defaultRowHeight="12.75" x14ac:dyDescent="0.2"/>
  <cols>
    <col min="1" max="1" width="11.42578125" style="41"/>
    <col min="2" max="2" width="34.140625" style="41" customWidth="1"/>
    <col min="3" max="3" width="27.140625" style="41" customWidth="1"/>
    <col min="4" max="4" width="35.5703125" style="41" customWidth="1"/>
    <col min="5" max="5" width="13.85546875" style="41" customWidth="1"/>
    <col min="6" max="15" width="11.42578125" style="41"/>
    <col min="16" max="16" width="16.5703125" style="41" customWidth="1"/>
    <col min="17" max="17" width="5.28515625" style="41" customWidth="1"/>
    <col min="18" max="18" width="25.7109375" style="41" customWidth="1"/>
    <col min="19" max="19" width="11.42578125" style="41"/>
    <col min="20" max="24" width="16.7109375" style="41" customWidth="1"/>
    <col min="25" max="25" width="11.42578125" style="41"/>
    <col min="26" max="27" width="16.7109375" style="41" customWidth="1"/>
    <col min="28" max="28" width="11.42578125" style="41"/>
    <col min="29" max="30" width="16.7109375" style="41" customWidth="1"/>
    <col min="31" max="32" width="11.42578125" style="41"/>
    <col min="33" max="35" width="20.7109375" style="41" customWidth="1"/>
    <col min="36" max="36" width="26.5703125" style="41" customWidth="1"/>
    <col min="37" max="42" width="15.7109375" style="41" customWidth="1"/>
    <col min="43" max="43" width="3.7109375" style="41" customWidth="1"/>
    <col min="44" max="54" width="15.7109375" style="41" customWidth="1"/>
    <col min="55" max="55" width="25.7109375" style="41" customWidth="1"/>
    <col min="56" max="61" width="15.7109375" style="41" customWidth="1"/>
    <col min="62" max="16384" width="11.42578125" style="41"/>
  </cols>
  <sheetData>
    <row r="1" spans="1:52" s="127" customFormat="1" x14ac:dyDescent="0.2">
      <c r="A1" s="453"/>
      <c r="B1" s="454" t="s">
        <v>316</v>
      </c>
      <c r="C1" s="453"/>
      <c r="D1" s="453"/>
      <c r="E1" s="453"/>
      <c r="F1" s="453"/>
      <c r="G1" s="453"/>
      <c r="H1" s="453"/>
      <c r="I1" s="453"/>
      <c r="J1" s="453"/>
      <c r="K1" s="453"/>
      <c r="L1" s="453"/>
      <c r="M1" s="453"/>
      <c r="N1" s="453"/>
      <c r="O1" s="453"/>
      <c r="P1" s="453"/>
    </row>
    <row r="2" spans="1:52" ht="16.5" thickBot="1" x14ac:dyDescent="0.3">
      <c r="AJ2" s="455" t="s">
        <v>577</v>
      </c>
    </row>
    <row r="3" spans="1:52" x14ac:dyDescent="0.2">
      <c r="B3" s="94" t="s">
        <v>402</v>
      </c>
      <c r="Q3" s="129"/>
      <c r="R3" s="456"/>
      <c r="S3" s="456"/>
      <c r="T3" s="456"/>
      <c r="U3" s="456"/>
      <c r="V3" s="456"/>
      <c r="W3" s="130"/>
    </row>
    <row r="4" spans="1:52" ht="15" x14ac:dyDescent="0.25">
      <c r="B4" s="94" t="s">
        <v>51</v>
      </c>
      <c r="E4" s="457">
        <v>1</v>
      </c>
      <c r="F4" s="457">
        <v>2</v>
      </c>
      <c r="G4" s="457">
        <v>2</v>
      </c>
      <c r="H4" s="457">
        <v>2</v>
      </c>
      <c r="I4" s="457">
        <v>2</v>
      </c>
      <c r="J4" s="457">
        <v>3</v>
      </c>
      <c r="K4" s="457">
        <v>3</v>
      </c>
      <c r="L4" s="457">
        <v>2</v>
      </c>
      <c r="Q4" s="151"/>
      <c r="R4" s="458" t="s">
        <v>403</v>
      </c>
      <c r="S4" s="459"/>
      <c r="T4" s="459"/>
      <c r="U4" s="459"/>
      <c r="V4" s="459"/>
      <c r="W4" s="132"/>
    </row>
    <row r="5" spans="1:52" x14ac:dyDescent="0.2">
      <c r="Q5" s="151"/>
      <c r="R5" s="460" t="s">
        <v>387</v>
      </c>
      <c r="S5" s="459"/>
      <c r="T5" s="460" t="s">
        <v>398</v>
      </c>
      <c r="U5" s="459"/>
      <c r="V5" s="459"/>
      <c r="W5" s="132"/>
      <c r="AJ5" s="94" t="s">
        <v>584</v>
      </c>
      <c r="AR5" s="94" t="s">
        <v>591</v>
      </c>
    </row>
    <row r="6" spans="1:52" x14ac:dyDescent="0.2">
      <c r="B6" s="94"/>
      <c r="E6" s="157" t="s">
        <v>43</v>
      </c>
      <c r="F6" s="41" t="s">
        <v>44</v>
      </c>
      <c r="G6" s="41" t="s">
        <v>45</v>
      </c>
      <c r="I6" s="41" t="s">
        <v>46</v>
      </c>
      <c r="J6" s="41" t="s">
        <v>43</v>
      </c>
      <c r="K6" s="41" t="s">
        <v>49</v>
      </c>
      <c r="L6" s="41" t="s">
        <v>47</v>
      </c>
      <c r="Q6" s="151"/>
      <c r="R6" s="461" t="s">
        <v>43</v>
      </c>
      <c r="S6" s="459"/>
      <c r="T6" s="462">
        <f>AN9</f>
        <v>20</v>
      </c>
      <c r="U6" s="459" t="s">
        <v>36</v>
      </c>
      <c r="V6" s="459"/>
      <c r="W6" s="132"/>
      <c r="AJ6" s="13"/>
      <c r="AK6" s="13"/>
      <c r="AL6" s="13"/>
      <c r="AM6" s="13"/>
      <c r="AN6" s="13"/>
      <c r="AO6" s="13"/>
      <c r="AP6" s="13"/>
    </row>
    <row r="7" spans="1:52" x14ac:dyDescent="0.2">
      <c r="B7" s="5" t="s">
        <v>32</v>
      </c>
      <c r="C7" s="7" t="s">
        <v>35</v>
      </c>
      <c r="E7" s="18">
        <v>0.96</v>
      </c>
      <c r="F7" s="18">
        <v>0.96</v>
      </c>
      <c r="G7" s="18">
        <v>0.96</v>
      </c>
      <c r="H7" s="18">
        <v>0.96</v>
      </c>
      <c r="I7" s="18">
        <v>0.96</v>
      </c>
      <c r="J7" s="18">
        <v>0.96</v>
      </c>
      <c r="K7" s="18">
        <v>0.96</v>
      </c>
      <c r="L7" s="18">
        <v>0.96</v>
      </c>
      <c r="Q7" s="463"/>
      <c r="R7" s="461" t="s">
        <v>388</v>
      </c>
      <c r="S7" s="459"/>
      <c r="T7" s="459"/>
      <c r="U7" s="459"/>
      <c r="V7" s="459"/>
      <c r="W7" s="132"/>
      <c r="AJ7" s="1002" t="s">
        <v>484</v>
      </c>
      <c r="AK7" s="1002"/>
      <c r="AL7" s="1002"/>
      <c r="AM7" s="464" t="s">
        <v>94</v>
      </c>
      <c r="AN7" s="462">
        <f>Fischzuchtanlage!J27</f>
        <v>0</v>
      </c>
      <c r="AO7" s="13"/>
      <c r="AP7" s="13"/>
      <c r="AR7" s="1013" t="s">
        <v>587</v>
      </c>
      <c r="AS7" s="1013"/>
      <c r="AT7" s="465" t="s">
        <v>589</v>
      </c>
      <c r="AU7" s="466">
        <f>Fischzuchtanlage!J52</f>
        <v>0</v>
      </c>
      <c r="AV7" s="466"/>
    </row>
    <row r="8" spans="1:52" x14ac:dyDescent="0.2">
      <c r="A8" s="5"/>
      <c r="B8" s="6" t="s">
        <v>33</v>
      </c>
      <c r="C8" s="7" t="s">
        <v>36</v>
      </c>
      <c r="E8" s="14">
        <v>23.4</v>
      </c>
      <c r="F8" s="467">
        <v>20</v>
      </c>
      <c r="G8" s="468">
        <v>18</v>
      </c>
      <c r="H8" s="467">
        <v>17</v>
      </c>
      <c r="I8" s="468">
        <v>16</v>
      </c>
      <c r="J8" s="468">
        <v>19.399999999999999</v>
      </c>
      <c r="K8" s="468">
        <v>19</v>
      </c>
      <c r="L8" s="468">
        <v>12.3</v>
      </c>
      <c r="Q8" s="463"/>
      <c r="R8" s="461" t="s">
        <v>389</v>
      </c>
      <c r="S8" s="459"/>
      <c r="T8" s="460" t="s">
        <v>393</v>
      </c>
      <c r="U8" s="459"/>
      <c r="V8" s="459"/>
      <c r="W8" s="132"/>
      <c r="AJ8" s="1002" t="s">
        <v>481</v>
      </c>
      <c r="AK8" s="1002"/>
      <c r="AL8" s="1002"/>
      <c r="AM8" s="464" t="s">
        <v>94</v>
      </c>
      <c r="AN8" s="462">
        <f>Fischzuchtanlage!J28</f>
        <v>0</v>
      </c>
      <c r="AO8" s="13"/>
      <c r="AP8" s="13"/>
      <c r="AU8" s="157"/>
      <c r="AV8" s="157"/>
    </row>
    <row r="9" spans="1:52" x14ac:dyDescent="0.2">
      <c r="A9" s="5"/>
      <c r="B9" s="8" t="s">
        <v>34</v>
      </c>
      <c r="E9" s="159">
        <v>0.04</v>
      </c>
      <c r="F9" s="467"/>
      <c r="G9" s="468"/>
      <c r="H9" s="467"/>
      <c r="I9" s="468"/>
      <c r="J9" s="468"/>
      <c r="K9" s="468"/>
      <c r="L9" s="468"/>
      <c r="Q9" s="463"/>
      <c r="R9" s="461" t="s">
        <v>391</v>
      </c>
      <c r="S9" s="459"/>
      <c r="T9" s="459" t="s">
        <v>37</v>
      </c>
      <c r="U9" s="469">
        <v>1</v>
      </c>
      <c r="V9" s="459" t="s">
        <v>38</v>
      </c>
      <c r="W9" s="132"/>
      <c r="AJ9" s="1002" t="s">
        <v>491</v>
      </c>
      <c r="AK9" s="1002"/>
      <c r="AL9" s="1002"/>
      <c r="AM9" s="464" t="s">
        <v>36</v>
      </c>
      <c r="AN9" s="462">
        <f>IF(Fischzuchtanlage!J31=0,U10,Fischzuchtanlage!J31)</f>
        <v>20</v>
      </c>
      <c r="AR9" s="94" t="s">
        <v>588</v>
      </c>
      <c r="AU9" s="157"/>
      <c r="AV9" s="157"/>
      <c r="AW9" s="470"/>
      <c r="AX9" s="470"/>
      <c r="AY9" s="94" t="s">
        <v>590</v>
      </c>
      <c r="AZ9" s="94" t="s">
        <v>530</v>
      </c>
    </row>
    <row r="10" spans="1:52" x14ac:dyDescent="0.2">
      <c r="A10" s="5"/>
      <c r="B10" s="8" t="s">
        <v>37</v>
      </c>
      <c r="C10" s="41" t="s">
        <v>38</v>
      </c>
      <c r="E10" s="471">
        <v>0.7</v>
      </c>
      <c r="F10" s="467">
        <v>1.1000000000000001</v>
      </c>
      <c r="G10" s="468">
        <v>1</v>
      </c>
      <c r="H10" s="467">
        <v>1</v>
      </c>
      <c r="I10" s="468">
        <v>1</v>
      </c>
      <c r="J10" s="468">
        <v>0.8</v>
      </c>
      <c r="K10" s="468">
        <v>1</v>
      </c>
      <c r="L10" s="468">
        <v>0.8</v>
      </c>
      <c r="Q10" s="463"/>
      <c r="R10" s="461" t="s">
        <v>47</v>
      </c>
      <c r="S10" s="459"/>
      <c r="T10" s="459" t="s">
        <v>33</v>
      </c>
      <c r="U10" s="793">
        <v>20</v>
      </c>
      <c r="V10" s="460" t="s">
        <v>550</v>
      </c>
      <c r="W10" s="132"/>
      <c r="AJ10" s="1002" t="s">
        <v>485</v>
      </c>
      <c r="AK10" s="1002"/>
      <c r="AL10" s="1002"/>
      <c r="AM10" s="464" t="s">
        <v>396</v>
      </c>
      <c r="AN10" s="462">
        <f>Fischzuchtanlage!J32</f>
        <v>0</v>
      </c>
      <c r="AR10" s="1014" t="s">
        <v>526</v>
      </c>
      <c r="AS10" s="1014"/>
      <c r="AT10" s="464" t="s">
        <v>269</v>
      </c>
      <c r="AU10" s="462">
        <f>Fischzuchtanlage!I59</f>
        <v>0</v>
      </c>
      <c r="AV10" s="472"/>
      <c r="AY10" s="473" t="str">
        <f>Fischzuchtanlage!L59</f>
        <v>gering</v>
      </c>
      <c r="AZ10" s="462" t="str">
        <f>Gewaesserbelastung!E19</f>
        <v/>
      </c>
    </row>
    <row r="11" spans="1:52" x14ac:dyDescent="0.2">
      <c r="A11" s="5"/>
      <c r="B11" s="8" t="s">
        <v>39</v>
      </c>
      <c r="C11" s="41" t="s">
        <v>40</v>
      </c>
      <c r="E11" s="471">
        <v>1</v>
      </c>
      <c r="F11" s="467">
        <v>1.2</v>
      </c>
      <c r="G11" s="468">
        <v>1.3</v>
      </c>
      <c r="H11" s="467">
        <v>1.7</v>
      </c>
      <c r="I11" s="468">
        <v>1.4</v>
      </c>
      <c r="J11" s="468">
        <v>1.2</v>
      </c>
      <c r="K11" s="468">
        <v>1.4</v>
      </c>
      <c r="L11" s="468">
        <v>3</v>
      </c>
      <c r="Q11" s="463"/>
      <c r="R11" s="461" t="s">
        <v>392</v>
      </c>
      <c r="S11" s="459"/>
      <c r="T11" s="459" t="s">
        <v>399</v>
      </c>
      <c r="U11" s="462">
        <f>AN8</f>
        <v>0</v>
      </c>
      <c r="V11" s="459" t="s">
        <v>400</v>
      </c>
      <c r="W11" s="132"/>
      <c r="AJ11" s="1002" t="s">
        <v>753</v>
      </c>
      <c r="AK11" s="1002"/>
      <c r="AL11" s="1002"/>
      <c r="AM11" s="464" t="s">
        <v>551</v>
      </c>
      <c r="AN11" s="474">
        <f>AN7/0.96/AN9*23.4</f>
        <v>0</v>
      </c>
      <c r="AR11" s="1014" t="s">
        <v>527</v>
      </c>
      <c r="AS11" s="1014"/>
      <c r="AT11" s="464" t="s">
        <v>269</v>
      </c>
      <c r="AU11" s="462">
        <f>Fischzuchtanlage!I60</f>
        <v>0</v>
      </c>
      <c r="AV11" s="472"/>
      <c r="AZ11" s="462" t="str">
        <f>Gewaesserbelastung!E20</f>
        <v/>
      </c>
    </row>
    <row r="12" spans="1:52" x14ac:dyDescent="0.2">
      <c r="A12" s="5"/>
      <c r="B12" s="5"/>
      <c r="C12" s="12"/>
      <c r="D12" s="5"/>
      <c r="E12" s="5"/>
      <c r="F12" s="5"/>
      <c r="G12" s="5"/>
      <c r="H12" s="5"/>
      <c r="Q12" s="151"/>
      <c r="R12" s="461" t="s">
        <v>49</v>
      </c>
      <c r="S12" s="459"/>
      <c r="T12" s="459" t="s">
        <v>401</v>
      </c>
      <c r="U12" s="475">
        <f>IF(T6&gt;0,(T6*-0.074+2.71)*U11/100,(U10*-0.074+2.71)*U11/100)</f>
        <v>0</v>
      </c>
      <c r="V12" s="459" t="s">
        <v>396</v>
      </c>
      <c r="W12" s="132"/>
      <c r="AJ12" s="1002" t="s">
        <v>482</v>
      </c>
      <c r="AK12" s="1002"/>
      <c r="AL12" s="1002"/>
      <c r="AM12" s="464" t="s">
        <v>119</v>
      </c>
      <c r="AN12" s="462">
        <f>Fischzuchtanlage!J39</f>
        <v>0</v>
      </c>
      <c r="AR12" s="1014" t="s">
        <v>541</v>
      </c>
      <c r="AS12" s="1014"/>
      <c r="AT12" s="464" t="s">
        <v>269</v>
      </c>
      <c r="AU12" s="462">
        <f>Fischzuchtanlage!I61</f>
        <v>0</v>
      </c>
      <c r="AV12" s="472"/>
      <c r="AZ12" s="462" t="str">
        <f>Gewaesserbelastung!E21</f>
        <v/>
      </c>
    </row>
    <row r="13" spans="1:52" x14ac:dyDescent="0.2">
      <c r="A13" s="5"/>
      <c r="B13" s="13" t="s">
        <v>52</v>
      </c>
      <c r="C13" s="14"/>
      <c r="D13" s="5"/>
      <c r="E13" s="476" t="s">
        <v>1055</v>
      </c>
      <c r="F13" s="476"/>
      <c r="G13" s="476"/>
      <c r="H13" s="476"/>
      <c r="I13" s="477"/>
      <c r="J13" s="477"/>
      <c r="K13" s="477"/>
      <c r="L13" s="477"/>
      <c r="Q13" s="151"/>
      <c r="R13" s="461" t="s">
        <v>390</v>
      </c>
      <c r="S13" s="459"/>
      <c r="T13" s="459" t="s">
        <v>401</v>
      </c>
      <c r="U13" s="475">
        <f>(23.4*-0.074+2.71)*U11/100</f>
        <v>0</v>
      </c>
      <c r="V13" s="459" t="s">
        <v>1054</v>
      </c>
      <c r="W13" s="132"/>
      <c r="AJ13" s="1002" t="s">
        <v>483</v>
      </c>
      <c r="AK13" s="1002"/>
      <c r="AL13" s="1002"/>
      <c r="AM13" s="464" t="s">
        <v>119</v>
      </c>
      <c r="AN13" s="462">
        <f>Fischzuchtanlage!J40</f>
        <v>0</v>
      </c>
      <c r="AR13" s="1014" t="s">
        <v>528</v>
      </c>
      <c r="AS13" s="1014"/>
      <c r="AT13" s="464" t="s">
        <v>269</v>
      </c>
      <c r="AU13" s="462">
        <f>Fischzuchtanlage!I62</f>
        <v>0</v>
      </c>
      <c r="AV13" s="472"/>
      <c r="AZ13" s="462" t="str">
        <f>Gewaesserbelastung!E22</f>
        <v/>
      </c>
    </row>
    <row r="14" spans="1:52" ht="13.5" thickBot="1" x14ac:dyDescent="0.25">
      <c r="A14" s="5"/>
      <c r="B14" s="13" t="s">
        <v>53</v>
      </c>
      <c r="C14" s="12"/>
      <c r="D14" s="5"/>
      <c r="E14" s="5"/>
      <c r="F14" s="5"/>
      <c r="G14" s="5"/>
      <c r="H14" s="5"/>
      <c r="I14" s="5"/>
      <c r="J14" s="5"/>
      <c r="K14" s="5"/>
      <c r="L14" s="5"/>
      <c r="Q14" s="143"/>
      <c r="R14" s="478"/>
      <c r="S14" s="478"/>
      <c r="T14" s="478"/>
      <c r="U14" s="478"/>
      <c r="V14" s="478"/>
      <c r="W14" s="144"/>
      <c r="AJ14" s="1002" t="s">
        <v>487</v>
      </c>
      <c r="AK14" s="1002"/>
      <c r="AL14" s="1002"/>
      <c r="AM14" s="464" t="s">
        <v>509</v>
      </c>
      <c r="AN14" s="462">
        <f>Fischzuchtanlage!J42</f>
        <v>0</v>
      </c>
    </row>
    <row r="15" spans="1:52" x14ac:dyDescent="0.2">
      <c r="A15" s="5"/>
      <c r="B15" s="13"/>
      <c r="C15" s="12"/>
      <c r="D15" s="5"/>
      <c r="E15" s="5"/>
      <c r="F15" s="5"/>
      <c r="G15" s="5"/>
      <c r="H15" s="5"/>
      <c r="I15" s="5"/>
      <c r="J15" s="5"/>
      <c r="K15" s="5"/>
      <c r="L15" s="5"/>
      <c r="AO15" s="1018" t="s">
        <v>586</v>
      </c>
      <c r="AP15" s="1018"/>
      <c r="AQ15" s="1018"/>
      <c r="AR15" s="1018"/>
    </row>
    <row r="16" spans="1:52" s="127" customFormat="1" x14ac:dyDescent="0.2">
      <c r="A16" s="453"/>
      <c r="B16" s="454" t="s">
        <v>317</v>
      </c>
      <c r="C16" s="453"/>
      <c r="D16" s="453"/>
      <c r="E16" s="453"/>
      <c r="F16" s="453"/>
      <c r="G16" s="453"/>
      <c r="H16" s="453"/>
      <c r="I16" s="453"/>
      <c r="J16" s="453"/>
      <c r="K16" s="453"/>
      <c r="L16" s="453"/>
      <c r="M16" s="453"/>
      <c r="N16" s="453"/>
      <c r="O16" s="453"/>
      <c r="P16" s="453"/>
      <c r="AJ16" s="1002" t="s">
        <v>497</v>
      </c>
      <c r="AK16" s="1002"/>
      <c r="AL16" s="1002"/>
      <c r="AM16" s="1002"/>
      <c r="AN16" s="462">
        <f>Fischzuchtanlage!C18</f>
        <v>3</v>
      </c>
      <c r="AO16" s="991" t="str">
        <f>Fischzuchtanlage!G18</f>
        <v>c) Kreislaufanlage</v>
      </c>
      <c r="AP16" s="992"/>
      <c r="AQ16" s="992"/>
      <c r="AR16" s="993"/>
    </row>
    <row r="17" spans="1:54" ht="12.75" customHeight="1" thickBot="1" x14ac:dyDescent="0.25">
      <c r="A17" s="1020" t="s">
        <v>384</v>
      </c>
      <c r="B17" s="5"/>
      <c r="C17" s="12"/>
      <c r="D17" s="5"/>
      <c r="E17" s="5"/>
      <c r="F17" s="5"/>
      <c r="G17" s="5"/>
      <c r="H17" s="5"/>
      <c r="AA17" s="479" t="s">
        <v>508</v>
      </c>
      <c r="AJ17" s="1002" t="s">
        <v>585</v>
      </c>
      <c r="AK17" s="1002"/>
      <c r="AL17" s="1002"/>
      <c r="AM17" s="1002"/>
      <c r="AN17" s="462">
        <f>Fischzuchtanlage!C69</f>
        <v>1</v>
      </c>
    </row>
    <row r="18" spans="1:54" x14ac:dyDescent="0.2">
      <c r="A18" s="1020"/>
      <c r="B18" s="480" t="s">
        <v>408</v>
      </c>
      <c r="C18" s="5"/>
      <c r="D18" s="480" t="s">
        <v>61</v>
      </c>
      <c r="E18" s="5"/>
      <c r="F18" s="5"/>
      <c r="G18" s="5"/>
      <c r="H18" s="480" t="s">
        <v>207</v>
      </c>
      <c r="Q18" s="129"/>
      <c r="R18" s="456"/>
      <c r="S18" s="456"/>
      <c r="T18" s="456"/>
      <c r="U18" s="456"/>
      <c r="V18" s="456"/>
      <c r="W18" s="456"/>
      <c r="X18" s="456"/>
      <c r="Y18" s="456"/>
      <c r="Z18" s="456"/>
      <c r="AA18" s="479"/>
      <c r="AJ18" s="1002" t="s">
        <v>503</v>
      </c>
      <c r="AK18" s="1002"/>
      <c r="AL18" s="1002"/>
      <c r="AM18" s="1002"/>
      <c r="AN18" s="474">
        <f>Fischzuchtanlage!C70</f>
        <v>2</v>
      </c>
    </row>
    <row r="19" spans="1:54" x14ac:dyDescent="0.2">
      <c r="A19" s="1020"/>
      <c r="B19" s="5"/>
      <c r="C19" s="5"/>
      <c r="D19" s="5"/>
      <c r="E19" s="5"/>
      <c r="F19" s="5"/>
      <c r="G19" s="5"/>
      <c r="H19" s="5" t="s">
        <v>220</v>
      </c>
      <c r="Q19" s="151"/>
      <c r="R19" s="460" t="s">
        <v>754</v>
      </c>
      <c r="S19" s="459"/>
      <c r="T19" s="459"/>
      <c r="U19" s="459"/>
      <c r="V19" s="459"/>
      <c r="W19" s="459"/>
      <c r="X19" s="459"/>
      <c r="Y19" s="459"/>
      <c r="Z19" s="459"/>
      <c r="AA19" s="479"/>
      <c r="AO19" s="1018" t="s">
        <v>586</v>
      </c>
      <c r="AP19" s="1018"/>
      <c r="AQ19" s="1018"/>
      <c r="AR19" s="1018"/>
    </row>
    <row r="20" spans="1:54" x14ac:dyDescent="0.2">
      <c r="A20" s="1020"/>
      <c r="B20" s="9" t="s">
        <v>54</v>
      </c>
      <c r="C20" s="5"/>
      <c r="D20" s="9" t="s">
        <v>60</v>
      </c>
      <c r="F20" s="5"/>
      <c r="G20" s="5"/>
      <c r="H20" s="5"/>
      <c r="K20" s="41" t="s">
        <v>216</v>
      </c>
      <c r="L20" s="41" t="s">
        <v>217</v>
      </c>
      <c r="M20" s="41" t="s">
        <v>406</v>
      </c>
      <c r="N20" s="41" t="s">
        <v>218</v>
      </c>
      <c r="O20" s="41" t="s">
        <v>219</v>
      </c>
      <c r="Q20" s="151"/>
      <c r="R20" s="459"/>
      <c r="S20" s="459"/>
      <c r="T20" s="459"/>
      <c r="U20" s="459"/>
      <c r="V20" s="459"/>
      <c r="W20" s="459"/>
      <c r="X20" s="459"/>
      <c r="Y20" s="459"/>
      <c r="Z20" s="459"/>
      <c r="AA20" s="479"/>
      <c r="AJ20" s="1002" t="s">
        <v>675</v>
      </c>
      <c r="AK20" s="1002"/>
      <c r="AL20" s="1002"/>
      <c r="AM20" s="1002"/>
      <c r="AN20" s="474">
        <f>Fischzuchtanlage!C80</f>
        <v>1</v>
      </c>
      <c r="AO20" s="991" t="str">
        <f>Fischzuchtanlage!H80</f>
        <v>a) keine</v>
      </c>
      <c r="AP20" s="992"/>
      <c r="AQ20" s="992"/>
      <c r="AR20" s="993"/>
    </row>
    <row r="21" spans="1:54" ht="12.75" customHeight="1" x14ac:dyDescent="0.2">
      <c r="A21" s="1020"/>
      <c r="B21" s="10"/>
      <c r="C21" s="12" t="s">
        <v>38</v>
      </c>
      <c r="D21" s="21"/>
      <c r="E21" s="12" t="s">
        <v>38</v>
      </c>
      <c r="F21" s="5"/>
      <c r="G21" s="5"/>
      <c r="H21" s="5" t="s">
        <v>208</v>
      </c>
      <c r="K21" s="157">
        <v>100</v>
      </c>
      <c r="L21" s="157">
        <v>154</v>
      </c>
      <c r="M21" s="157">
        <f>L21/2</f>
        <v>77</v>
      </c>
      <c r="N21" s="157">
        <v>6.1</v>
      </c>
      <c r="O21" s="157">
        <v>1.1000000000000001</v>
      </c>
      <c r="P21" s="157"/>
      <c r="Q21" s="151"/>
      <c r="R21" s="481"/>
      <c r="S21" s="1021" t="s">
        <v>510</v>
      </c>
      <c r="T21" s="1021"/>
      <c r="U21" s="1015" t="s">
        <v>512</v>
      </c>
      <c r="V21" s="1015"/>
      <c r="W21" s="482"/>
      <c r="X21" s="482"/>
      <c r="Y21" s="482"/>
      <c r="Z21" s="482"/>
      <c r="AA21" s="479"/>
      <c r="AJ21" s="1002" t="s">
        <v>426</v>
      </c>
      <c r="AK21" s="1002"/>
      <c r="AL21" s="1002"/>
      <c r="AM21" s="1002"/>
      <c r="AN21" s="474">
        <f>Fischzuchtanlage!C79</f>
        <v>1</v>
      </c>
      <c r="AO21" s="991" t="str">
        <f>Fischzuchtanlage!H79</f>
        <v>d) keine</v>
      </c>
      <c r="AP21" s="992"/>
      <c r="AQ21" s="992"/>
      <c r="AR21" s="993"/>
    </row>
    <row r="22" spans="1:54" x14ac:dyDescent="0.2">
      <c r="A22" s="1020"/>
      <c r="B22" s="5" t="s">
        <v>64</v>
      </c>
      <c r="C22" s="12">
        <v>100</v>
      </c>
      <c r="D22" s="5" t="s">
        <v>64</v>
      </c>
      <c r="E22" s="157">
        <v>100</v>
      </c>
      <c r="F22" s="5"/>
      <c r="G22" s="5"/>
      <c r="H22" s="5" t="s">
        <v>209</v>
      </c>
      <c r="K22" s="157">
        <v>96</v>
      </c>
      <c r="L22" s="157">
        <v>144</v>
      </c>
      <c r="M22" s="157">
        <f t="shared" ref="M22:M28" si="0">L22/2</f>
        <v>72</v>
      </c>
      <c r="N22" s="157">
        <v>5.9</v>
      </c>
      <c r="O22" s="157">
        <v>1.1000000000000001</v>
      </c>
      <c r="P22" s="157"/>
      <c r="Q22" s="151"/>
      <c r="R22" s="483" t="str">
        <f>INDEX(Texte,26,Fischzuchtanlage!$N$2)</f>
        <v>a) Durchflussanlage</v>
      </c>
      <c r="S22" s="1022" t="str">
        <f>INDEX(Texte,29,Fischzuchtanlage!$N$2)</f>
        <v>Anlagen mit einem ständigen Wasserdurchfluss wie Becken, Fliesskanäle, Teiche.</v>
      </c>
      <c r="T22" s="1023"/>
      <c r="U22" s="1016" t="str">
        <f>INDEX(Texte,32,Fischzuchtanlage!$N$2)</f>
        <v>Bei Durchfluss und Teichanlagen sind Massnahmen notwendig um das Entweichen von Fischen zu verhindern. Entsprechende Angaben und Pläne sind mit dem Gesuch einzureichen.</v>
      </c>
      <c r="V22" s="1017"/>
      <c r="W22" s="484"/>
      <c r="X22" s="484"/>
      <c r="Y22" s="484"/>
      <c r="Z22" s="485"/>
      <c r="AA22" s="486">
        <v>1</v>
      </c>
    </row>
    <row r="23" spans="1:54" x14ac:dyDescent="0.2">
      <c r="A23" s="1020"/>
      <c r="B23" s="5" t="s">
        <v>34</v>
      </c>
      <c r="C23" s="12">
        <v>4</v>
      </c>
      <c r="D23" s="5" t="s">
        <v>34</v>
      </c>
      <c r="E23" s="157">
        <v>4</v>
      </c>
      <c r="F23" s="5"/>
      <c r="G23" s="5"/>
      <c r="H23" s="13" t="s">
        <v>210</v>
      </c>
      <c r="K23" s="157"/>
      <c r="L23" s="157">
        <v>64</v>
      </c>
      <c r="M23" s="157">
        <f t="shared" si="0"/>
        <v>32</v>
      </c>
      <c r="N23" s="157">
        <v>2.9</v>
      </c>
      <c r="O23" s="157">
        <v>0.4</v>
      </c>
      <c r="P23" s="157"/>
      <c r="Q23" s="151"/>
      <c r="R23" s="483" t="str">
        <f>INDEX(Texte,27,Fischzuchtanlage!$N$2)</f>
        <v>b) Teichanlage</v>
      </c>
      <c r="S23" s="1022" t="str">
        <f>INDEX(Texte,30,Fischzuchtanlage!$N$2)</f>
        <v>flache, nicht ständig durchströmte, ablassbare Gewässer.</v>
      </c>
      <c r="T23" s="1023"/>
      <c r="U23" s="1016" t="str">
        <f>INDEX(Texte,33,Fischzuchtanlage!$N$2)</f>
        <v>Bei Durchfluss und Teichanlagen sind Massnahmen notwendig um das Entweichen von Fischen zu verhindern. Entsprechende Angaben und Pläne sind mit dem Gesuch einzureichen.</v>
      </c>
      <c r="V23" s="1017"/>
      <c r="W23" s="484"/>
      <c r="X23" s="484"/>
      <c r="Y23" s="484"/>
      <c r="Z23" s="485"/>
      <c r="AA23" s="486">
        <v>2</v>
      </c>
      <c r="AY23" s="41" t="s">
        <v>596</v>
      </c>
    </row>
    <row r="24" spans="1:54" x14ac:dyDescent="0.2">
      <c r="A24" s="1020"/>
      <c r="E24" s="157"/>
      <c r="F24" s="5"/>
      <c r="G24" s="5"/>
      <c r="H24" s="13" t="s">
        <v>211</v>
      </c>
      <c r="K24" s="157">
        <v>4</v>
      </c>
      <c r="L24" s="157">
        <v>6</v>
      </c>
      <c r="M24" s="157">
        <f t="shared" si="0"/>
        <v>3</v>
      </c>
      <c r="N24" s="157">
        <v>0.2</v>
      </c>
      <c r="O24" s="157">
        <v>0.04</v>
      </c>
      <c r="P24" s="157"/>
      <c r="Q24" s="151"/>
      <c r="R24" s="483" t="str">
        <f>INDEX(Texte,28,Fischzuchtanlage!$N$2)</f>
        <v>c) Kreislaufanlage</v>
      </c>
      <c r="S24" s="1022" t="str">
        <f>INDEX(Texte,31,Fischzuchtanlage!$N$2)</f>
        <v>Anlagen mit Behältersystemen in denen das Wasser im Kreislauf geführt wird, mit Biofiltern inkl. Denitrifikation zur Wasseraufbereitung. Die Feststoffabtrennung und -Entwässerung wird automatisch berücksichtigt</v>
      </c>
      <c r="T24" s="1023"/>
      <c r="U24" s="848" t="s">
        <v>498</v>
      </c>
      <c r="V24" s="849"/>
      <c r="W24" s="484"/>
      <c r="X24" s="484"/>
      <c r="Y24" s="484"/>
      <c r="Z24" s="485"/>
      <c r="AA24" s="486">
        <v>3</v>
      </c>
      <c r="AR24" s="127"/>
      <c r="AT24" s="487"/>
      <c r="AU24" s="487"/>
      <c r="AV24" s="487"/>
      <c r="AW24" s="127"/>
      <c r="AX24" s="127"/>
    </row>
    <row r="25" spans="1:54" ht="12.75" customHeight="1" x14ac:dyDescent="0.2">
      <c r="A25" s="1020"/>
      <c r="B25" s="13" t="s">
        <v>55</v>
      </c>
      <c r="C25" s="12">
        <v>96</v>
      </c>
      <c r="D25" s="13" t="s">
        <v>55</v>
      </c>
      <c r="E25" s="157">
        <v>96</v>
      </c>
      <c r="F25" s="5"/>
      <c r="G25" s="5"/>
      <c r="H25" s="16" t="s">
        <v>212</v>
      </c>
      <c r="K25" s="157"/>
      <c r="L25" s="157">
        <v>30</v>
      </c>
      <c r="M25" s="157">
        <f t="shared" si="0"/>
        <v>15</v>
      </c>
      <c r="N25" s="157">
        <v>0.8</v>
      </c>
      <c r="O25" s="157">
        <v>0.6</v>
      </c>
      <c r="P25" s="157"/>
      <c r="Q25" s="151"/>
      <c r="R25" s="483"/>
      <c r="S25" s="1024" t="s">
        <v>498</v>
      </c>
      <c r="T25" s="1024"/>
      <c r="U25" s="1043" t="s">
        <v>498</v>
      </c>
      <c r="V25" s="1043"/>
      <c r="W25" s="488"/>
      <c r="X25" s="488"/>
      <c r="Y25" s="488"/>
      <c r="Z25" s="489"/>
      <c r="AA25" s="486">
        <v>4</v>
      </c>
      <c r="AJ25" s="178" t="s">
        <v>581</v>
      </c>
      <c r="AK25" s="13"/>
      <c r="AL25" s="13"/>
      <c r="AM25" s="13"/>
      <c r="AN25" s="13"/>
      <c r="AO25" s="13"/>
      <c r="AP25" s="13"/>
      <c r="AR25" s="94" t="s">
        <v>617</v>
      </c>
      <c r="AY25" s="94" t="s">
        <v>605</v>
      </c>
    </row>
    <row r="26" spans="1:54" x14ac:dyDescent="0.2">
      <c r="A26" s="1020"/>
      <c r="B26" s="13" t="s">
        <v>57</v>
      </c>
      <c r="C26" s="14">
        <v>36</v>
      </c>
      <c r="D26" s="13" t="s">
        <v>57</v>
      </c>
      <c r="E26" s="157">
        <v>47</v>
      </c>
      <c r="F26" s="5"/>
      <c r="G26" s="5"/>
      <c r="H26" s="16" t="s">
        <v>213</v>
      </c>
      <c r="K26" s="157"/>
      <c r="L26" s="157"/>
      <c r="M26" s="157"/>
      <c r="N26" s="157">
        <v>2.2000000000000002</v>
      </c>
      <c r="O26" s="157">
        <v>0.1</v>
      </c>
      <c r="P26" s="157"/>
      <c r="Q26" s="151"/>
      <c r="R26" s="459"/>
      <c r="S26" s="459"/>
      <c r="T26" s="459"/>
      <c r="U26" s="459"/>
      <c r="V26" s="459"/>
      <c r="W26" s="459"/>
      <c r="X26" s="459"/>
      <c r="Y26" s="459"/>
      <c r="Z26" s="459"/>
      <c r="AA26" s="479"/>
      <c r="AJ26" s="41" t="s">
        <v>604</v>
      </c>
      <c r="AK26" s="13"/>
      <c r="AL26" s="13"/>
      <c r="AM26" s="13"/>
      <c r="AN26" s="13"/>
      <c r="AO26" s="13"/>
      <c r="AP26" s="13"/>
      <c r="AR26" s="490"/>
      <c r="AS26" s="491" t="s">
        <v>586</v>
      </c>
      <c r="AT26" s="161">
        <f>AN17</f>
        <v>1</v>
      </c>
      <c r="AV26" s="13"/>
      <c r="AY26" s="490"/>
      <c r="AZ26" s="491" t="s">
        <v>586</v>
      </c>
      <c r="BA26" s="492">
        <f>IF(AT26&lt;3,2,AN18)</f>
        <v>2</v>
      </c>
    </row>
    <row r="27" spans="1:54" x14ac:dyDescent="0.2">
      <c r="A27" s="1020"/>
      <c r="B27" s="20" t="s">
        <v>56</v>
      </c>
      <c r="C27" s="14">
        <v>64</v>
      </c>
      <c r="D27" s="20" t="s">
        <v>56</v>
      </c>
      <c r="E27" s="157">
        <v>49</v>
      </c>
      <c r="F27" s="5"/>
      <c r="G27" s="5"/>
      <c r="H27" s="13" t="s">
        <v>214</v>
      </c>
      <c r="K27" s="157"/>
      <c r="L27" s="157">
        <v>10</v>
      </c>
      <c r="M27" s="793">
        <v>6.7</v>
      </c>
      <c r="N27" s="793">
        <v>2.5</v>
      </c>
      <c r="O27" s="793">
        <v>0.2</v>
      </c>
      <c r="P27" s="157"/>
      <c r="Q27" s="151"/>
      <c r="R27" s="460" t="s">
        <v>488</v>
      </c>
      <c r="S27" s="459"/>
      <c r="T27" s="459"/>
      <c r="U27" s="459"/>
      <c r="V27" s="459"/>
      <c r="W27" s="459"/>
      <c r="X27" s="459"/>
      <c r="Y27" s="459"/>
      <c r="Z27" s="459"/>
      <c r="AA27" s="479"/>
      <c r="AJ27" s="13"/>
      <c r="AK27" s="13"/>
      <c r="AL27" s="13"/>
      <c r="AM27" s="13"/>
      <c r="AN27" s="13"/>
      <c r="AO27" s="13"/>
      <c r="AP27" s="13"/>
      <c r="AV27" s="14"/>
      <c r="AZ27" s="157"/>
      <c r="BA27" s="157"/>
    </row>
    <row r="28" spans="1:54" ht="13.5" thickBot="1" x14ac:dyDescent="0.25">
      <c r="A28" s="1020"/>
      <c r="B28" s="20" t="s">
        <v>58</v>
      </c>
      <c r="C28" s="14">
        <v>18</v>
      </c>
      <c r="D28" s="20" t="s">
        <v>58</v>
      </c>
      <c r="E28" s="157">
        <v>38</v>
      </c>
      <c r="F28" s="5" t="s">
        <v>236</v>
      </c>
      <c r="G28" s="5"/>
      <c r="H28" s="13" t="s">
        <v>215</v>
      </c>
      <c r="K28" s="157"/>
      <c r="L28" s="157">
        <v>26</v>
      </c>
      <c r="M28" s="462">
        <f t="shared" si="0"/>
        <v>13</v>
      </c>
      <c r="N28" s="793">
        <v>0.7</v>
      </c>
      <c r="O28" s="793">
        <v>0.5</v>
      </c>
      <c r="P28" s="157"/>
      <c r="Q28" s="151"/>
      <c r="R28" s="459"/>
      <c r="S28" s="1021" t="s">
        <v>511</v>
      </c>
      <c r="T28" s="1021"/>
      <c r="U28" s="459"/>
      <c r="V28" s="459"/>
      <c r="W28" s="459"/>
      <c r="X28" s="459"/>
      <c r="Y28" s="459"/>
      <c r="Z28" s="459"/>
      <c r="AA28" s="479"/>
      <c r="AJ28" s="479"/>
      <c r="AK28" s="479"/>
      <c r="AL28" s="479"/>
      <c r="AM28" s="479"/>
      <c r="AN28" s="493"/>
      <c r="AO28" s="479"/>
      <c r="AP28" s="479"/>
      <c r="AR28" s="494" t="s">
        <v>580</v>
      </c>
      <c r="AS28" s="494"/>
      <c r="AT28" s="494"/>
      <c r="AU28" s="494"/>
      <c r="AV28" s="14"/>
      <c r="AY28" s="495" t="s">
        <v>594</v>
      </c>
      <c r="AZ28" s="496">
        <v>1</v>
      </c>
      <c r="BA28" s="496">
        <v>2</v>
      </c>
    </row>
    <row r="29" spans="1:54" x14ac:dyDescent="0.2">
      <c r="A29" s="1020"/>
      <c r="B29" s="20" t="s">
        <v>59</v>
      </c>
      <c r="C29" s="14">
        <v>45</v>
      </c>
      <c r="D29" s="20" t="s">
        <v>59</v>
      </c>
      <c r="E29" s="157">
        <v>11</v>
      </c>
      <c r="H29" s="13" t="s">
        <v>423</v>
      </c>
      <c r="M29" s="462">
        <f>M27+M28</f>
        <v>19.7</v>
      </c>
      <c r="N29" s="462">
        <f t="shared" ref="N29:O29" si="1">N27+N28</f>
        <v>3.2</v>
      </c>
      <c r="O29" s="462">
        <f t="shared" si="1"/>
        <v>0.7</v>
      </c>
      <c r="Q29" s="151"/>
      <c r="R29" s="497" t="str">
        <f>INDEX(Texte,36,Fischzuchtanlage!$N$2)</f>
        <v>Kommerzielle Zucht</v>
      </c>
      <c r="S29" s="1025" t="str">
        <f>INDEX(Texte,38,Fischzuchtanlage!$N$2)</f>
        <v>Die Betreiber von kommerziellen Fischzuchten müssen entsprechende Ausbildungskurse besuchen.</v>
      </c>
      <c r="T29" s="1026"/>
      <c r="U29" s="484"/>
      <c r="V29" s="484"/>
      <c r="W29" s="484"/>
      <c r="X29" s="484"/>
      <c r="Y29" s="484"/>
      <c r="Z29" s="484"/>
      <c r="AA29" s="479"/>
      <c r="AJ29" s="498" t="s">
        <v>394</v>
      </c>
      <c r="AK29" s="996" t="s">
        <v>419</v>
      </c>
      <c r="AL29" s="996"/>
      <c r="AM29" s="479"/>
      <c r="AN29" s="996" t="s">
        <v>578</v>
      </c>
      <c r="AO29" s="996"/>
      <c r="AP29" s="499"/>
      <c r="AR29" s="500">
        <v>1</v>
      </c>
      <c r="AS29" s="500">
        <v>2</v>
      </c>
      <c r="AT29" s="500">
        <v>3</v>
      </c>
      <c r="AU29" s="500">
        <v>4</v>
      </c>
      <c r="AV29" s="501" t="s">
        <v>593</v>
      </c>
      <c r="AY29" s="453"/>
      <c r="AZ29" s="453" t="s">
        <v>583</v>
      </c>
      <c r="BA29" s="453" t="s">
        <v>582</v>
      </c>
      <c r="BB29" s="502" t="s">
        <v>595</v>
      </c>
    </row>
    <row r="30" spans="1:54" x14ac:dyDescent="0.2">
      <c r="A30" s="1020"/>
      <c r="Q30" s="151"/>
      <c r="R30" s="497" t="str">
        <f>INDEX(Texte,37,Fischzuchtanlage!$N$2)</f>
        <v>Zucht für den Eigenbedarf</v>
      </c>
      <c r="S30" s="1025" t="str">
        <f>INDEX(Texte,39,Fischzuchtanlage!$N$2)</f>
        <v/>
      </c>
      <c r="T30" s="1026"/>
      <c r="U30" s="488"/>
      <c r="V30" s="488"/>
      <c r="W30" s="488"/>
      <c r="X30" s="488"/>
      <c r="Y30" s="488"/>
      <c r="Z30" s="488"/>
      <c r="AA30" s="479"/>
      <c r="AJ30" s="503" t="s">
        <v>66</v>
      </c>
      <c r="AK30" s="119" t="s">
        <v>306</v>
      </c>
      <c r="AL30" s="119" t="s">
        <v>380</v>
      </c>
      <c r="AM30" s="504"/>
      <c r="AN30" s="119" t="s">
        <v>306</v>
      </c>
      <c r="AO30" s="505" t="s">
        <v>380</v>
      </c>
      <c r="AP30" s="506"/>
      <c r="AR30" s="119"/>
      <c r="AS30" s="507"/>
      <c r="AT30" s="507"/>
      <c r="AU30" s="503"/>
      <c r="AV30" s="508"/>
      <c r="AY30" s="505" t="s">
        <v>66</v>
      </c>
      <c r="AZ30" s="507"/>
      <c r="BA30" s="503"/>
      <c r="BB30" s="508"/>
    </row>
    <row r="31" spans="1:54" ht="13.5" thickBot="1" x14ac:dyDescent="0.25">
      <c r="A31" s="1020"/>
      <c r="C31" s="41" t="s">
        <v>63</v>
      </c>
      <c r="E31" s="41" t="s">
        <v>63</v>
      </c>
      <c r="Q31" s="143"/>
      <c r="R31" s="478"/>
      <c r="S31" s="478"/>
      <c r="T31" s="478"/>
      <c r="U31" s="478"/>
      <c r="V31" s="478"/>
      <c r="W31" s="478"/>
      <c r="X31" s="478"/>
      <c r="Y31" s="478"/>
      <c r="Z31" s="478"/>
      <c r="AA31" s="479"/>
      <c r="AJ31" s="503" t="s">
        <v>381</v>
      </c>
      <c r="AK31" s="509">
        <f>Z50</f>
        <v>0</v>
      </c>
      <c r="AL31" s="509">
        <f>AA50</f>
        <v>0</v>
      </c>
      <c r="AM31" s="510" t="s">
        <v>396</v>
      </c>
      <c r="AN31" s="509">
        <f>AC50</f>
        <v>0</v>
      </c>
      <c r="AO31" s="509">
        <f>AD50</f>
        <v>0</v>
      </c>
      <c r="AP31" s="511"/>
      <c r="AR31" s="512"/>
      <c r="AS31" s="512"/>
      <c r="AT31" s="512"/>
      <c r="AU31" s="513"/>
      <c r="AV31" s="514"/>
      <c r="AY31" s="515" t="s">
        <v>255</v>
      </c>
      <c r="AZ31" s="791">
        <v>0</v>
      </c>
      <c r="BA31" s="125">
        <v>0.35</v>
      </c>
      <c r="BB31" s="516">
        <f>HLOOKUP(BA26,AZ28:BA35,4)</f>
        <v>0.35</v>
      </c>
    </row>
    <row r="32" spans="1:54" x14ac:dyDescent="0.2">
      <c r="A32" s="1020"/>
      <c r="B32" s="5" t="s">
        <v>64</v>
      </c>
      <c r="C32" s="12">
        <v>11</v>
      </c>
      <c r="D32" s="5" t="s">
        <v>64</v>
      </c>
      <c r="E32" s="157">
        <v>61</v>
      </c>
      <c r="AJ32" s="503" t="s">
        <v>378</v>
      </c>
      <c r="AK32" s="509">
        <f>Z51</f>
        <v>0</v>
      </c>
      <c r="AL32" s="509">
        <f>AA51</f>
        <v>0</v>
      </c>
      <c r="AM32" s="510" t="s">
        <v>396</v>
      </c>
      <c r="AN32" s="509">
        <f>AC51</f>
        <v>0</v>
      </c>
      <c r="AO32" s="509">
        <f>AD51</f>
        <v>0</v>
      </c>
      <c r="AP32" s="511"/>
      <c r="AQ32" s="127"/>
      <c r="AR32" s="512"/>
      <c r="AS32" s="512"/>
      <c r="AT32" s="512"/>
      <c r="AU32" s="513"/>
      <c r="AV32" s="514"/>
      <c r="AW32" s="127"/>
      <c r="AX32" s="127"/>
      <c r="AY32" s="517" t="s">
        <v>378</v>
      </c>
      <c r="AZ32" s="791">
        <v>0</v>
      </c>
      <c r="BA32" s="125">
        <v>0.23</v>
      </c>
      <c r="BB32" s="516">
        <f>HLOOKUP(BA26,AZ28:BA35,5)</f>
        <v>0.23</v>
      </c>
    </row>
    <row r="33" spans="1:56" x14ac:dyDescent="0.2">
      <c r="A33" s="1020"/>
      <c r="B33" s="5" t="s">
        <v>34</v>
      </c>
      <c r="C33" s="12">
        <v>0.4</v>
      </c>
      <c r="D33" s="5" t="s">
        <v>34</v>
      </c>
      <c r="E33" s="157">
        <v>2</v>
      </c>
      <c r="AJ33" s="503" t="s">
        <v>421</v>
      </c>
      <c r="AK33" s="509">
        <f>Z52</f>
        <v>0</v>
      </c>
      <c r="AL33" s="509"/>
      <c r="AM33" s="510" t="s">
        <v>396</v>
      </c>
      <c r="AN33" s="509">
        <f>AC52</f>
        <v>0</v>
      </c>
      <c r="AO33" s="509"/>
      <c r="AP33" s="511"/>
      <c r="AR33" s="512"/>
      <c r="AS33" s="512"/>
      <c r="AT33" s="512"/>
      <c r="AU33" s="513"/>
      <c r="AV33" s="514"/>
      <c r="AY33" s="517"/>
      <c r="AZ33" s="512"/>
      <c r="BA33" s="513"/>
      <c r="BB33" s="514"/>
    </row>
    <row r="34" spans="1:56" x14ac:dyDescent="0.2">
      <c r="A34" s="1020"/>
      <c r="E34" s="157"/>
      <c r="AJ34" s="503" t="s">
        <v>379</v>
      </c>
      <c r="AK34" s="509">
        <f>Z53</f>
        <v>0</v>
      </c>
      <c r="AL34" s="509">
        <f>AA53</f>
        <v>0</v>
      </c>
      <c r="AM34" s="510" t="s">
        <v>396</v>
      </c>
      <c r="AN34" s="509">
        <f>AC53</f>
        <v>0</v>
      </c>
      <c r="AO34" s="509">
        <f>AD53</f>
        <v>0</v>
      </c>
      <c r="AP34" s="511"/>
      <c r="AR34" s="512"/>
      <c r="AS34" s="512"/>
      <c r="AT34" s="512"/>
      <c r="AU34" s="513"/>
      <c r="AV34" s="514"/>
      <c r="AY34" s="517" t="s">
        <v>379</v>
      </c>
      <c r="AZ34" s="791">
        <v>0</v>
      </c>
      <c r="BA34" s="125">
        <v>0.41</v>
      </c>
      <c r="BB34" s="516">
        <f>HLOOKUP(BA26,AZ28:BA35,7)</f>
        <v>0.41</v>
      </c>
    </row>
    <row r="35" spans="1:56" x14ac:dyDescent="0.2">
      <c r="A35" s="1020"/>
      <c r="B35" s="13" t="s">
        <v>55</v>
      </c>
      <c r="C35" s="12">
        <v>11</v>
      </c>
      <c r="D35" s="13" t="s">
        <v>55</v>
      </c>
      <c r="E35" s="157">
        <v>59</v>
      </c>
      <c r="AJ35" s="503" t="s">
        <v>90</v>
      </c>
      <c r="AK35" s="518"/>
      <c r="AL35" s="509">
        <f>AA54</f>
        <v>0</v>
      </c>
      <c r="AM35" s="510" t="s">
        <v>396</v>
      </c>
      <c r="AN35" s="518"/>
      <c r="AO35" s="509">
        <f>AD54</f>
        <v>0</v>
      </c>
      <c r="AP35" s="511"/>
      <c r="AR35" s="791">
        <v>0.3</v>
      </c>
      <c r="AS35" s="791">
        <v>0.3</v>
      </c>
      <c r="AT35" s="791">
        <v>0.5</v>
      </c>
      <c r="AU35" s="125">
        <v>0.6</v>
      </c>
      <c r="AV35" s="516">
        <f>HLOOKUP(AT26,AR29:AU35,7)</f>
        <v>0.3</v>
      </c>
      <c r="AW35" s="41" t="s">
        <v>653</v>
      </c>
      <c r="AY35" s="517"/>
      <c r="AZ35" s="512"/>
      <c r="BA35" s="513"/>
      <c r="BB35" s="514"/>
    </row>
    <row r="36" spans="1:56" ht="13.5" thickBot="1" x14ac:dyDescent="0.25">
      <c r="A36" s="1020"/>
      <c r="B36" s="13" t="s">
        <v>57</v>
      </c>
      <c r="C36" s="14">
        <v>4</v>
      </c>
      <c r="D36" s="13" t="s">
        <v>57</v>
      </c>
      <c r="E36" s="157">
        <v>29</v>
      </c>
      <c r="AJ36" s="479"/>
      <c r="AK36" s="479"/>
      <c r="AL36" s="479"/>
      <c r="AM36" s="479"/>
      <c r="AN36" s="479"/>
      <c r="AO36" s="479"/>
      <c r="AP36" s="479"/>
      <c r="AR36" s="519" t="s">
        <v>620</v>
      </c>
      <c r="AS36" s="453"/>
      <c r="AT36" s="453"/>
      <c r="AU36" s="453"/>
      <c r="AV36" s="520"/>
      <c r="AY36" s="505"/>
      <c r="AZ36" s="507"/>
      <c r="BA36" s="503"/>
      <c r="BB36" s="520"/>
    </row>
    <row r="37" spans="1:56" x14ac:dyDescent="0.2">
      <c r="A37" s="1020"/>
      <c r="B37" s="20" t="s">
        <v>56</v>
      </c>
      <c r="C37" s="14">
        <v>7</v>
      </c>
      <c r="D37" s="20" t="s">
        <v>56</v>
      </c>
      <c r="E37" s="157">
        <v>30</v>
      </c>
      <c r="AR37" s="521" t="s">
        <v>618</v>
      </c>
      <c r="AS37" s="521"/>
    </row>
    <row r="38" spans="1:56" x14ac:dyDescent="0.2">
      <c r="A38" s="1020"/>
      <c r="B38" s="20" t="s">
        <v>58</v>
      </c>
      <c r="C38" s="14">
        <v>2</v>
      </c>
      <c r="D38" s="20" t="s">
        <v>58</v>
      </c>
      <c r="E38" s="157">
        <v>23</v>
      </c>
      <c r="F38" s="5" t="s">
        <v>236</v>
      </c>
      <c r="AI38" s="470" t="s">
        <v>597</v>
      </c>
      <c r="AJ38" s="522" t="s">
        <v>579</v>
      </c>
      <c r="AK38" s="339"/>
      <c r="AL38" s="523">
        <f>AL35*365</f>
        <v>0</v>
      </c>
      <c r="AM38" s="339" t="s">
        <v>475</v>
      </c>
      <c r="AN38" s="339"/>
      <c r="AO38" s="523">
        <f>AO35*365</f>
        <v>0</v>
      </c>
      <c r="AP38" s="524"/>
      <c r="AR38" s="41" t="s">
        <v>619</v>
      </c>
      <c r="AT38" s="521"/>
      <c r="AU38" s="521"/>
      <c r="AV38" s="521"/>
      <c r="AW38" s="521"/>
      <c r="AX38" s="521"/>
      <c r="AY38" s="521"/>
      <c r="AZ38" s="521"/>
      <c r="BA38" s="521"/>
    </row>
    <row r="39" spans="1:56" x14ac:dyDescent="0.2">
      <c r="A39" s="1020"/>
      <c r="B39" s="20" t="s">
        <v>59</v>
      </c>
      <c r="C39" s="14">
        <v>5</v>
      </c>
      <c r="D39" s="20" t="s">
        <v>59</v>
      </c>
      <c r="E39" s="157">
        <v>7</v>
      </c>
      <c r="AI39" s="470" t="s">
        <v>598</v>
      </c>
      <c r="AJ39" s="522" t="s">
        <v>592</v>
      </c>
      <c r="AK39" s="339"/>
      <c r="AL39" s="523">
        <f>AL38*AV35</f>
        <v>0</v>
      </c>
      <c r="AM39" s="339" t="s">
        <v>475</v>
      </c>
      <c r="AN39" s="339"/>
      <c r="AO39" s="523">
        <f>AO38*AV35</f>
        <v>0</v>
      </c>
      <c r="AP39" s="524"/>
      <c r="AR39" s="41" t="s">
        <v>621</v>
      </c>
      <c r="AW39" s="127"/>
      <c r="AX39" s="127"/>
    </row>
    <row r="40" spans="1:56" ht="12.75" customHeight="1" x14ac:dyDescent="0.2">
      <c r="A40" s="1020"/>
      <c r="AR40" s="127"/>
      <c r="AS40" s="127"/>
    </row>
    <row r="41" spans="1:56" s="127" customFormat="1" ht="13.5" thickBot="1" x14ac:dyDescent="0.25">
      <c r="A41" s="1020"/>
      <c r="B41" s="525"/>
      <c r="C41" s="525"/>
      <c r="D41" s="525"/>
      <c r="E41" s="525"/>
      <c r="F41" s="525"/>
      <c r="G41" s="525"/>
      <c r="H41" s="525"/>
      <c r="I41" s="525"/>
      <c r="J41" s="525"/>
      <c r="K41" s="525"/>
      <c r="L41" s="525"/>
      <c r="M41" s="525"/>
      <c r="N41" s="525"/>
      <c r="O41" s="525"/>
      <c r="P41" s="525"/>
    </row>
    <row r="42" spans="1:56" ht="15" x14ac:dyDescent="0.25">
      <c r="A42" s="1020"/>
      <c r="Q42" s="526"/>
      <c r="R42" s="527"/>
      <c r="S42" s="527"/>
      <c r="T42" s="528" t="s">
        <v>545</v>
      </c>
      <c r="U42" s="527"/>
      <c r="V42" s="527"/>
      <c r="W42" s="527"/>
      <c r="X42" s="527"/>
      <c r="Y42" s="527"/>
      <c r="Z42" s="529" t="s">
        <v>542</v>
      </c>
      <c r="AA42" s="527"/>
      <c r="AB42" s="530" t="s">
        <v>603</v>
      </c>
      <c r="AC42" s="527"/>
      <c r="AD42" s="527"/>
      <c r="AE42" s="531"/>
      <c r="AJ42" s="94" t="s">
        <v>614</v>
      </c>
      <c r="AR42" s="94" t="s">
        <v>1006</v>
      </c>
      <c r="AY42" s="94" t="s">
        <v>616</v>
      </c>
    </row>
    <row r="43" spans="1:56" ht="15" x14ac:dyDescent="0.25">
      <c r="A43" s="1020"/>
      <c r="B43" s="22" t="s">
        <v>65</v>
      </c>
      <c r="D43" s="480" t="s">
        <v>61</v>
      </c>
      <c r="J43" s="127" t="s">
        <v>412</v>
      </c>
      <c r="Q43" s="532"/>
      <c r="R43" s="533" t="s">
        <v>548</v>
      </c>
      <c r="S43" s="479"/>
      <c r="T43" s="534" t="s">
        <v>418</v>
      </c>
      <c r="U43" s="534" t="s">
        <v>543</v>
      </c>
      <c r="V43" s="479"/>
      <c r="W43" s="479"/>
      <c r="X43" s="479"/>
      <c r="Y43" s="479"/>
      <c r="Z43" s="535">
        <f>AN9</f>
        <v>20</v>
      </c>
      <c r="AA43" s="479" t="s">
        <v>36</v>
      </c>
      <c r="AB43" s="479" t="s">
        <v>546</v>
      </c>
      <c r="AC43" s="479"/>
      <c r="AD43" s="479"/>
      <c r="AE43" s="536"/>
    </row>
    <row r="44" spans="1:56" x14ac:dyDescent="0.2">
      <c r="A44" s="1020"/>
      <c r="F44" s="7"/>
      <c r="Q44" s="532"/>
      <c r="R44" s="479"/>
      <c r="S44" s="479"/>
      <c r="T44" s="499" t="s">
        <v>404</v>
      </c>
      <c r="U44" s="537" t="s">
        <v>542</v>
      </c>
      <c r="V44" s="538"/>
      <c r="W44" s="479"/>
      <c r="X44" s="479" t="s">
        <v>544</v>
      </c>
      <c r="Y44" s="479"/>
      <c r="Z44" s="532" t="s">
        <v>424</v>
      </c>
      <c r="AA44" s="479"/>
      <c r="AB44" s="479" t="s">
        <v>573</v>
      </c>
      <c r="AC44" s="479"/>
      <c r="AD44" s="479"/>
      <c r="AE44" s="536"/>
      <c r="AJ44" s="479"/>
      <c r="AK44" s="479"/>
      <c r="AL44" s="479"/>
      <c r="AM44" s="479"/>
      <c r="AN44" s="493"/>
      <c r="AO44" s="479"/>
      <c r="AP44" s="479"/>
      <c r="AS44" s="792">
        <v>0.2</v>
      </c>
      <c r="AT44" s="41" t="s">
        <v>1015</v>
      </c>
      <c r="AW44" s="539"/>
      <c r="AY44" s="479"/>
      <c r="AZ44" s="479"/>
      <c r="BA44" s="479"/>
      <c r="BB44" s="479"/>
      <c r="BC44" s="493"/>
      <c r="BD44" s="479"/>
    </row>
    <row r="45" spans="1:56" x14ac:dyDescent="0.2">
      <c r="A45" s="1020"/>
      <c r="B45" s="94" t="s">
        <v>66</v>
      </c>
      <c r="C45" s="94" t="s">
        <v>67</v>
      </c>
      <c r="D45" s="480" t="s">
        <v>85</v>
      </c>
      <c r="I45" s="41" t="s">
        <v>414</v>
      </c>
      <c r="J45" s="41" t="s">
        <v>415</v>
      </c>
      <c r="O45" s="41" t="s">
        <v>417</v>
      </c>
      <c r="Q45" s="532"/>
      <c r="R45" s="479" t="s">
        <v>395</v>
      </c>
      <c r="S45" s="479"/>
      <c r="T45" s="523">
        <f>U13</f>
        <v>0</v>
      </c>
      <c r="U45" s="462">
        <f>AN10</f>
        <v>0</v>
      </c>
      <c r="V45" s="538" t="s">
        <v>396</v>
      </c>
      <c r="W45" s="479"/>
      <c r="X45" s="479" t="s">
        <v>545</v>
      </c>
      <c r="Y45" s="479"/>
      <c r="Z45" s="532" t="s">
        <v>549</v>
      </c>
      <c r="AA45" s="479"/>
      <c r="AB45" s="479" t="s">
        <v>547</v>
      </c>
      <c r="AC45" s="479"/>
      <c r="AD45" s="479"/>
      <c r="AE45" s="536"/>
      <c r="AJ45" s="498"/>
      <c r="AK45" s="996" t="s">
        <v>419</v>
      </c>
      <c r="AL45" s="996"/>
      <c r="AM45" s="479"/>
      <c r="AN45" s="996" t="s">
        <v>578</v>
      </c>
      <c r="AO45" s="996"/>
      <c r="AP45" s="499"/>
      <c r="AR45" s="41" t="s">
        <v>602</v>
      </c>
      <c r="AS45" s="540">
        <f>BA34</f>
        <v>0.41</v>
      </c>
      <c r="AT45" s="41" t="s">
        <v>600</v>
      </c>
      <c r="AW45" s="539"/>
      <c r="AY45" s="498"/>
      <c r="AZ45" s="996" t="s">
        <v>419</v>
      </c>
      <c r="BA45" s="996"/>
      <c r="BB45" s="479"/>
      <c r="BC45" s="996" t="s">
        <v>578</v>
      </c>
      <c r="BD45" s="996"/>
    </row>
    <row r="46" spans="1:56" x14ac:dyDescent="0.2">
      <c r="A46" s="1020"/>
      <c r="B46" s="41" t="s">
        <v>68</v>
      </c>
      <c r="C46" s="157">
        <v>2.2999999999999998</v>
      </c>
      <c r="I46" s="127" t="s">
        <v>413</v>
      </c>
      <c r="J46" s="127"/>
      <c r="K46" s="127"/>
      <c r="Q46" s="532"/>
      <c r="R46" s="479" t="s">
        <v>397</v>
      </c>
      <c r="S46" s="479"/>
      <c r="T46" s="541">
        <f>T45*0.04</f>
        <v>0</v>
      </c>
      <c r="U46" s="541">
        <f>U45*0.04</f>
        <v>0</v>
      </c>
      <c r="V46" s="538" t="s">
        <v>396</v>
      </c>
      <c r="W46" s="479"/>
      <c r="X46" s="479"/>
      <c r="Y46" s="479"/>
      <c r="Z46" s="532"/>
      <c r="AA46" s="479"/>
      <c r="AB46" s="479"/>
      <c r="AC46" s="479"/>
      <c r="AD46" s="479"/>
      <c r="AE46" s="536"/>
      <c r="AJ46" s="503" t="s">
        <v>66</v>
      </c>
      <c r="AK46" s="119" t="s">
        <v>600</v>
      </c>
      <c r="AL46" s="119" t="s">
        <v>599</v>
      </c>
      <c r="AM46" s="504"/>
      <c r="AN46" s="119" t="s">
        <v>600</v>
      </c>
      <c r="AO46" s="119" t="s">
        <v>599</v>
      </c>
      <c r="AP46" s="538"/>
      <c r="AR46" s="41" t="s">
        <v>642</v>
      </c>
      <c r="AS46" s="540">
        <f>BA32</f>
        <v>0.23</v>
      </c>
      <c r="AT46" s="41" t="s">
        <v>600</v>
      </c>
      <c r="AW46" s="539"/>
      <c r="AX46" s="13"/>
      <c r="AY46" s="503" t="s">
        <v>66</v>
      </c>
      <c r="AZ46" s="119" t="s">
        <v>600</v>
      </c>
      <c r="BA46" s="119" t="s">
        <v>599</v>
      </c>
      <c r="BB46" s="504"/>
      <c r="BC46" s="119" t="s">
        <v>600</v>
      </c>
      <c r="BD46" s="119" t="s">
        <v>599</v>
      </c>
    </row>
    <row r="47" spans="1:56" ht="13.5" thickBot="1" x14ac:dyDescent="0.25">
      <c r="A47" s="1020"/>
      <c r="B47" s="41" t="s">
        <v>69</v>
      </c>
      <c r="C47" s="157">
        <v>0.7</v>
      </c>
      <c r="D47" s="542" t="s">
        <v>86</v>
      </c>
      <c r="E47" s="543">
        <v>18</v>
      </c>
      <c r="F47" s="543">
        <v>19</v>
      </c>
      <c r="G47" s="543">
        <v>20</v>
      </c>
      <c r="H47" s="543">
        <v>21</v>
      </c>
      <c r="I47" s="471">
        <v>23.4</v>
      </c>
      <c r="J47" s="543">
        <v>18</v>
      </c>
      <c r="K47" s="543">
        <v>19</v>
      </c>
      <c r="L47" s="543">
        <v>20</v>
      </c>
      <c r="M47" s="543">
        <v>21</v>
      </c>
      <c r="N47" s="471">
        <v>23.4</v>
      </c>
      <c r="O47" s="453" t="s">
        <v>122</v>
      </c>
      <c r="P47" s="453" t="s">
        <v>416</v>
      </c>
      <c r="Q47" s="532"/>
      <c r="R47" s="479"/>
      <c r="S47" s="479"/>
      <c r="T47" s="479"/>
      <c r="U47" s="479"/>
      <c r="V47" s="479"/>
      <c r="W47" s="479"/>
      <c r="X47" s="479"/>
      <c r="Y47" s="479"/>
      <c r="Z47" s="544"/>
      <c r="AA47" s="545"/>
      <c r="AB47" s="546"/>
      <c r="AC47" s="547" t="s">
        <v>574</v>
      </c>
      <c r="AD47" s="545"/>
      <c r="AE47" s="548"/>
      <c r="AJ47" s="503" t="s">
        <v>381</v>
      </c>
      <c r="AK47" s="509">
        <f>AL31*AV35*BB31</f>
        <v>0</v>
      </c>
      <c r="AL47" s="509">
        <f>AL31*AV35-AK47</f>
        <v>0</v>
      </c>
      <c r="AM47" s="510" t="s">
        <v>396</v>
      </c>
      <c r="AN47" s="509">
        <f>AO31*AV35*BB31</f>
        <v>0</v>
      </c>
      <c r="AO47" s="509">
        <f>AO31*AV35-AN47</f>
        <v>0</v>
      </c>
      <c r="AP47" s="511"/>
      <c r="AR47" s="479"/>
      <c r="AS47" s="479"/>
      <c r="AT47" s="479"/>
      <c r="AU47" s="479"/>
      <c r="AV47" s="493"/>
      <c r="AW47" s="479"/>
      <c r="AX47" s="39"/>
      <c r="AY47" s="503" t="s">
        <v>381</v>
      </c>
      <c r="AZ47" s="509">
        <f>AL31*BA31</f>
        <v>0</v>
      </c>
      <c r="BA47" s="509">
        <f>AL31*(1-BA31)</f>
        <v>0</v>
      </c>
      <c r="BB47" s="510" t="s">
        <v>396</v>
      </c>
      <c r="BC47" s="509">
        <f>AO31*BA31</f>
        <v>0</v>
      </c>
      <c r="BD47" s="509">
        <f>AO31*(1-BA31)</f>
        <v>0</v>
      </c>
    </row>
    <row r="48" spans="1:56" x14ac:dyDescent="0.2">
      <c r="A48" s="1020"/>
      <c r="B48" s="41" t="s">
        <v>70</v>
      </c>
      <c r="C48" s="157">
        <v>3</v>
      </c>
      <c r="D48" s="41" t="s">
        <v>409</v>
      </c>
      <c r="E48" s="157">
        <v>116</v>
      </c>
      <c r="F48" s="157">
        <v>108</v>
      </c>
      <c r="G48" s="157">
        <v>100</v>
      </c>
      <c r="H48" s="157">
        <v>92</v>
      </c>
      <c r="I48" s="471">
        <f>-8*I47+260</f>
        <v>72.800000000000011</v>
      </c>
      <c r="J48" s="218">
        <f t="shared" ref="J48:M50" si="2">E48/$I48</f>
        <v>1.5934065934065931</v>
      </c>
      <c r="K48" s="218">
        <f t="shared" si="2"/>
        <v>1.4835164835164834</v>
      </c>
      <c r="L48" s="218">
        <f t="shared" si="2"/>
        <v>1.3736263736263734</v>
      </c>
      <c r="M48" s="218">
        <f t="shared" si="2"/>
        <v>1.2637362637362635</v>
      </c>
      <c r="N48" s="446">
        <v>1</v>
      </c>
      <c r="O48" s="453">
        <v>-0.1099</v>
      </c>
      <c r="P48" s="453">
        <v>3.5714000000000001</v>
      </c>
      <c r="Q48" s="532"/>
      <c r="R48" s="498" t="s">
        <v>394</v>
      </c>
      <c r="S48" s="479"/>
      <c r="T48" s="526" t="s">
        <v>419</v>
      </c>
      <c r="U48" s="527"/>
      <c r="V48" s="531"/>
      <c r="W48" s="549" t="s">
        <v>420</v>
      </c>
      <c r="X48" s="527"/>
      <c r="Y48" s="527"/>
      <c r="Z48" s="526" t="s">
        <v>419</v>
      </c>
      <c r="AA48" s="527"/>
      <c r="AB48" s="531"/>
      <c r="AC48" s="549" t="s">
        <v>420</v>
      </c>
      <c r="AD48" s="527"/>
      <c r="AE48" s="531"/>
      <c r="AJ48" s="503" t="s">
        <v>378</v>
      </c>
      <c r="AK48" s="509">
        <f>AL32*AV35*BB32</f>
        <v>0</v>
      </c>
      <c r="AL48" s="509">
        <f>AL32*AV35-AK48</f>
        <v>0</v>
      </c>
      <c r="AM48" s="510" t="s">
        <v>396</v>
      </c>
      <c r="AN48" s="509">
        <f>AO32*AV35*BB32</f>
        <v>0</v>
      </c>
      <c r="AO48" s="509">
        <f>AO32*AV35-AN48</f>
        <v>0</v>
      </c>
      <c r="AP48" s="511"/>
      <c r="AR48" s="498"/>
      <c r="AS48" s="989" t="s">
        <v>419</v>
      </c>
      <c r="AT48" s="990"/>
      <c r="AU48" s="479"/>
      <c r="AV48" s="989" t="s">
        <v>578</v>
      </c>
      <c r="AW48" s="990"/>
      <c r="AX48" s="14"/>
      <c r="AY48" s="503" t="s">
        <v>378</v>
      </c>
      <c r="AZ48" s="509">
        <f>AL32*BA32</f>
        <v>0</v>
      </c>
      <c r="BA48" s="509">
        <f>AL32*(1-BA32)</f>
        <v>0</v>
      </c>
      <c r="BB48" s="510" t="s">
        <v>396</v>
      </c>
      <c r="BC48" s="509">
        <f>AO32*BA32</f>
        <v>0</v>
      </c>
      <c r="BD48" s="509">
        <f>AO32*(1-BA32)</f>
        <v>0</v>
      </c>
    </row>
    <row r="49" spans="1:56" x14ac:dyDescent="0.2">
      <c r="A49" s="1020"/>
      <c r="B49" s="41" t="s">
        <v>71</v>
      </c>
      <c r="C49" s="157">
        <v>0.2</v>
      </c>
      <c r="D49" s="41" t="s">
        <v>410</v>
      </c>
      <c r="E49" s="157">
        <v>108.8</v>
      </c>
      <c r="F49" s="157">
        <v>103.2</v>
      </c>
      <c r="G49" s="157">
        <v>98</v>
      </c>
      <c r="H49" s="157">
        <v>93.3</v>
      </c>
      <c r="I49" s="471">
        <f>-5.17*I47+201.64</f>
        <v>80.661999999999992</v>
      </c>
      <c r="J49" s="218">
        <f t="shared" si="2"/>
        <v>1.3488383625498996</v>
      </c>
      <c r="K49" s="218">
        <f t="shared" si="2"/>
        <v>1.2794128585951254</v>
      </c>
      <c r="L49" s="218">
        <f t="shared" si="2"/>
        <v>1.2149463192085495</v>
      </c>
      <c r="M49" s="218">
        <f t="shared" si="2"/>
        <v>1.156678485532221</v>
      </c>
      <c r="N49" s="446">
        <v>1</v>
      </c>
      <c r="O49" s="453">
        <v>-6.4100000000000004E-2</v>
      </c>
      <c r="P49" s="453">
        <v>2.4998</v>
      </c>
      <c r="Q49" s="532"/>
      <c r="R49" s="479"/>
      <c r="S49" s="479"/>
      <c r="T49" s="550" t="s">
        <v>306</v>
      </c>
      <c r="U49" s="506" t="s">
        <v>422</v>
      </c>
      <c r="V49" s="536"/>
      <c r="W49" s="550" t="s">
        <v>306</v>
      </c>
      <c r="X49" s="506" t="s">
        <v>422</v>
      </c>
      <c r="Y49" s="479"/>
      <c r="Z49" s="551" t="s">
        <v>306</v>
      </c>
      <c r="AA49" s="522" t="s">
        <v>422</v>
      </c>
      <c r="AB49" s="552"/>
      <c r="AC49" s="339" t="s">
        <v>306</v>
      </c>
      <c r="AD49" s="522" t="s">
        <v>422</v>
      </c>
      <c r="AE49" s="553"/>
      <c r="AJ49" s="503" t="s">
        <v>421</v>
      </c>
      <c r="AK49" s="509">
        <f>0.9*AK48</f>
        <v>0</v>
      </c>
      <c r="AL49" s="554"/>
      <c r="AM49" s="510" t="s">
        <v>396</v>
      </c>
      <c r="AN49" s="509">
        <f>0.9*AN48</f>
        <v>0</v>
      </c>
      <c r="AO49" s="554"/>
      <c r="AP49" s="541"/>
      <c r="AR49" s="503" t="s">
        <v>66</v>
      </c>
      <c r="AS49" s="119" t="s">
        <v>600</v>
      </c>
      <c r="AT49" s="119" t="s">
        <v>601</v>
      </c>
      <c r="AU49" s="504"/>
      <c r="AV49" s="119" t="s">
        <v>600</v>
      </c>
      <c r="AW49" s="119" t="s">
        <v>601</v>
      </c>
      <c r="AX49" s="555"/>
      <c r="AY49" s="503" t="s">
        <v>421</v>
      </c>
      <c r="AZ49" s="509"/>
      <c r="BA49" s="554"/>
      <c r="BB49" s="510" t="s">
        <v>396</v>
      </c>
      <c r="BC49" s="509"/>
      <c r="BD49" s="554"/>
    </row>
    <row r="50" spans="1:56" x14ac:dyDescent="0.2">
      <c r="A50" s="1020"/>
      <c r="B50" s="41" t="s">
        <v>72</v>
      </c>
      <c r="C50" s="157">
        <v>0.7</v>
      </c>
      <c r="D50" s="41" t="s">
        <v>411</v>
      </c>
      <c r="E50" s="157">
        <v>19.399999999999999</v>
      </c>
      <c r="F50" s="157">
        <v>18.399999999999999</v>
      </c>
      <c r="G50" s="157">
        <v>17.5</v>
      </c>
      <c r="H50" s="157">
        <v>16.7</v>
      </c>
      <c r="I50" s="471">
        <f>-0.9*I47+35.55</f>
        <v>14.489999999999998</v>
      </c>
      <c r="J50" s="218">
        <f t="shared" si="2"/>
        <v>1.3388543823326433</v>
      </c>
      <c r="K50" s="218">
        <f t="shared" si="2"/>
        <v>1.2698412698412698</v>
      </c>
      <c r="L50" s="218">
        <f t="shared" si="2"/>
        <v>1.2077294685990339</v>
      </c>
      <c r="M50" s="218">
        <f t="shared" si="2"/>
        <v>1.1525189786059351</v>
      </c>
      <c r="N50" s="446">
        <v>1</v>
      </c>
      <c r="O50" s="453">
        <v>-6.2100000000000002E-2</v>
      </c>
      <c r="P50" s="453">
        <v>2.4533999999999998</v>
      </c>
      <c r="Q50" s="532"/>
      <c r="R50" s="479" t="s">
        <v>381</v>
      </c>
      <c r="S50" s="479"/>
      <c r="T50" s="556">
        <f>$T$45/100*M27</f>
        <v>0</v>
      </c>
      <c r="U50" s="557">
        <f>$T$45/100*M28+$T$46*M29/100</f>
        <v>0</v>
      </c>
      <c r="V50" s="558" t="s">
        <v>396</v>
      </c>
      <c r="W50" s="556">
        <f>$U$45/100*M27</f>
        <v>0</v>
      </c>
      <c r="X50" s="557">
        <f>$U$45/100*M28+$U$46*M29/100</f>
        <v>0</v>
      </c>
      <c r="Y50" s="479"/>
      <c r="Z50" s="559">
        <f>($Z$43*$O$48+$P$48)*T50</f>
        <v>0</v>
      </c>
      <c r="AA50" s="509">
        <f>($Z$43*$O$48+$P$48)*U50</f>
        <v>0</v>
      </c>
      <c r="AB50" s="339" t="s">
        <v>396</v>
      </c>
      <c r="AC50" s="509">
        <f>($Z$43*$O$48+$P$48)*W50</f>
        <v>0</v>
      </c>
      <c r="AD50" s="509">
        <f>($Z$43*$O$48+$P$48)*X50</f>
        <v>0</v>
      </c>
      <c r="AE50" s="553"/>
      <c r="AJ50" s="503" t="s">
        <v>379</v>
      </c>
      <c r="AK50" s="509">
        <f>AL34*AV35*BB34</f>
        <v>0</v>
      </c>
      <c r="AL50" s="509">
        <f>AL34*AV35-AK50</f>
        <v>0</v>
      </c>
      <c r="AM50" s="510" t="s">
        <v>396</v>
      </c>
      <c r="AN50" s="509">
        <f>AO34*AV35*BB34</f>
        <v>0</v>
      </c>
      <c r="AO50" s="509">
        <f>AO34*AV35-AN50</f>
        <v>0</v>
      </c>
      <c r="AP50" s="511"/>
      <c r="AR50" s="503" t="s">
        <v>379</v>
      </c>
      <c r="AS50" s="509">
        <f>AL34*AS44*AS45</f>
        <v>0</v>
      </c>
      <c r="AT50" s="509">
        <f>AL34*AS44*(1-AS45)</f>
        <v>0</v>
      </c>
      <c r="AU50" s="510" t="s">
        <v>396</v>
      </c>
      <c r="AV50" s="509">
        <f>AO34*AS44*AS45</f>
        <v>0</v>
      </c>
      <c r="AW50" s="509">
        <f>AO34*AS44*(1-AS45)</f>
        <v>0</v>
      </c>
      <c r="AY50" s="503" t="s">
        <v>379</v>
      </c>
      <c r="AZ50" s="509">
        <f>AL34*BA34</f>
        <v>0</v>
      </c>
      <c r="BA50" s="509">
        <f>AL34*(1-BA34)</f>
        <v>0</v>
      </c>
      <c r="BB50" s="510" t="s">
        <v>396</v>
      </c>
      <c r="BC50" s="509">
        <f>AO34*BA34</f>
        <v>0</v>
      </c>
      <c r="BD50" s="509">
        <f>AO34*(1-BA34)</f>
        <v>0</v>
      </c>
    </row>
    <row r="51" spans="1:56" x14ac:dyDescent="0.2">
      <c r="A51" s="1020"/>
      <c r="B51" s="41" t="s">
        <v>73</v>
      </c>
      <c r="C51" s="157">
        <v>10</v>
      </c>
      <c r="Q51" s="532"/>
      <c r="R51" s="479" t="s">
        <v>378</v>
      </c>
      <c r="S51" s="479"/>
      <c r="T51" s="556">
        <f>$T$45/100*N27</f>
        <v>0</v>
      </c>
      <c r="U51" s="557">
        <f>$T$45/100*N28+$T$46*N29/100</f>
        <v>0</v>
      </c>
      <c r="V51" s="558" t="s">
        <v>396</v>
      </c>
      <c r="W51" s="556">
        <f>$U$45/100*N27</f>
        <v>0</v>
      </c>
      <c r="X51" s="557">
        <f>$U$45/100*N28+$U$46*N29/100</f>
        <v>0</v>
      </c>
      <c r="Y51" s="479"/>
      <c r="Z51" s="559">
        <f>($Z$43*$O$49+$P$49)*T51</f>
        <v>0</v>
      </c>
      <c r="AA51" s="509">
        <f>($Z$43*$O$49+$P$49)*U51</f>
        <v>0</v>
      </c>
      <c r="AB51" s="339" t="s">
        <v>396</v>
      </c>
      <c r="AC51" s="509">
        <f>($Z$43*$O$49+$P$49)*W51</f>
        <v>0</v>
      </c>
      <c r="AD51" s="509">
        <f>($Z$43*$O$49+$P$49)*X51</f>
        <v>0</v>
      </c>
      <c r="AE51" s="553"/>
      <c r="AJ51" s="503" t="s">
        <v>90</v>
      </c>
      <c r="AK51" s="507"/>
      <c r="AL51" s="560"/>
      <c r="AM51" s="510" t="s">
        <v>396</v>
      </c>
      <c r="AN51" s="507"/>
      <c r="AO51" s="560"/>
      <c r="AP51" s="561"/>
      <c r="AR51" s="503" t="s">
        <v>378</v>
      </c>
      <c r="AS51" s="509">
        <f>AL32*AS44*AS46</f>
        <v>0</v>
      </c>
      <c r="AT51" s="509">
        <f>AL32*AS44*(1-AS46)</f>
        <v>0</v>
      </c>
      <c r="AU51" s="510" t="s">
        <v>396</v>
      </c>
      <c r="AV51" s="509">
        <f>AO32*AS44*AS46</f>
        <v>0</v>
      </c>
      <c r="AW51" s="509">
        <f>AO32*AS44*(1-AS46)</f>
        <v>0</v>
      </c>
      <c r="AY51" s="503" t="s">
        <v>90</v>
      </c>
      <c r="AZ51" s="507"/>
      <c r="BA51" s="560"/>
      <c r="BB51" s="510" t="s">
        <v>396</v>
      </c>
      <c r="BC51" s="507"/>
      <c r="BD51" s="560"/>
    </row>
    <row r="52" spans="1:56" x14ac:dyDescent="0.2">
      <c r="A52" s="1020"/>
      <c r="Q52" s="532"/>
      <c r="R52" s="479" t="s">
        <v>421</v>
      </c>
      <c r="S52" s="479"/>
      <c r="T52" s="556">
        <f>0.9*T51</f>
        <v>0</v>
      </c>
      <c r="U52" s="562"/>
      <c r="V52" s="558" t="s">
        <v>396</v>
      </c>
      <c r="W52" s="556">
        <f>0.9*W51</f>
        <v>0</v>
      </c>
      <c r="X52" s="562"/>
      <c r="Y52" s="479"/>
      <c r="Z52" s="559">
        <f>0.9*Z51</f>
        <v>0</v>
      </c>
      <c r="AA52" s="518"/>
      <c r="AB52" s="339" t="s">
        <v>396</v>
      </c>
      <c r="AC52" s="509">
        <f>0.9*AC51</f>
        <v>0</v>
      </c>
      <c r="AD52" s="518"/>
      <c r="AE52" s="553"/>
      <c r="AJ52" s="479"/>
      <c r="AK52" s="479"/>
      <c r="AL52" s="479"/>
      <c r="AM52" s="479"/>
      <c r="AN52" s="479"/>
      <c r="AO52" s="479"/>
      <c r="AP52" s="479"/>
      <c r="AY52" s="479"/>
      <c r="AZ52" s="479"/>
      <c r="BA52" s="479"/>
      <c r="BB52" s="479"/>
      <c r="BC52" s="479"/>
      <c r="BD52" s="479"/>
    </row>
    <row r="53" spans="1:56" s="127" customFormat="1" x14ac:dyDescent="0.2">
      <c r="A53" s="1020"/>
      <c r="B53" s="525"/>
      <c r="C53" s="525"/>
      <c r="D53" s="525"/>
      <c r="E53" s="525"/>
      <c r="F53" s="525"/>
      <c r="G53" s="525"/>
      <c r="H53" s="525"/>
      <c r="I53" s="525"/>
      <c r="J53" s="525"/>
      <c r="K53" s="525"/>
      <c r="L53" s="525"/>
      <c r="M53" s="525"/>
      <c r="N53" s="525"/>
      <c r="O53" s="525"/>
      <c r="P53" s="525"/>
      <c r="Q53" s="532"/>
      <c r="R53" s="479" t="s">
        <v>379</v>
      </c>
      <c r="S53" s="479"/>
      <c r="T53" s="556">
        <f>$T$45/100*O27</f>
        <v>0</v>
      </c>
      <c r="U53" s="557">
        <f>$T$45/100*O28+$T$46*O29/100</f>
        <v>0</v>
      </c>
      <c r="V53" s="558" t="s">
        <v>396</v>
      </c>
      <c r="W53" s="556">
        <f>$U$45/100*O27</f>
        <v>0</v>
      </c>
      <c r="X53" s="557">
        <f>$U$45/100*O28+$U$46*O29/100</f>
        <v>0</v>
      </c>
      <c r="Y53" s="479"/>
      <c r="Z53" s="559">
        <f>($Z$43*$O$50+$P$50)*T53</f>
        <v>0</v>
      </c>
      <c r="AA53" s="509">
        <f>($Z$43*$O$50+$P$50)*U53</f>
        <v>0</v>
      </c>
      <c r="AB53" s="339" t="s">
        <v>396</v>
      </c>
      <c r="AC53" s="509">
        <f>($Z$43*$O$50+$P$50)*W53</f>
        <v>0</v>
      </c>
      <c r="AD53" s="509">
        <f>($Z$43*$O$50+$P$50)*X53</f>
        <v>0</v>
      </c>
      <c r="AE53" s="553"/>
    </row>
    <row r="54" spans="1:56" ht="13.5" thickBot="1" x14ac:dyDescent="0.25">
      <c r="A54" s="1020"/>
      <c r="Q54" s="532"/>
      <c r="R54" s="479" t="s">
        <v>90</v>
      </c>
      <c r="S54" s="479"/>
      <c r="T54" s="563"/>
      <c r="U54" s="564">
        <f>$T$45/100*C70+$T$46*C70/100</f>
        <v>0</v>
      </c>
      <c r="V54" s="565" t="s">
        <v>396</v>
      </c>
      <c r="W54" s="563"/>
      <c r="X54" s="564">
        <f>$U$45/100*C70+$U$46*C70/100</f>
        <v>0</v>
      </c>
      <c r="Y54" s="545"/>
      <c r="Z54" s="566"/>
      <c r="AA54" s="567">
        <f>($Z$43*$O$48+$P$48)*U54</f>
        <v>0</v>
      </c>
      <c r="AB54" s="568" t="s">
        <v>396</v>
      </c>
      <c r="AC54" s="569"/>
      <c r="AD54" s="567">
        <f>($Z$43*$O$48+$P$48)*X54</f>
        <v>0</v>
      </c>
      <c r="AE54" s="570"/>
      <c r="AR54" s="41" t="s">
        <v>1007</v>
      </c>
      <c r="AY54" s="127" t="s">
        <v>622</v>
      </c>
      <c r="AZ54" s="127"/>
      <c r="BA54" s="127"/>
      <c r="BB54" s="127"/>
      <c r="BC54" s="127"/>
      <c r="BD54" s="127"/>
    </row>
    <row r="55" spans="1:56" ht="16.5" thickBot="1" x14ac:dyDescent="0.3">
      <c r="A55" s="1020"/>
      <c r="B55" s="571" t="s">
        <v>298</v>
      </c>
      <c r="Q55" s="544"/>
      <c r="R55" s="545"/>
      <c r="S55" s="545"/>
      <c r="T55" s="545"/>
      <c r="U55" s="545"/>
      <c r="V55" s="545"/>
      <c r="W55" s="545"/>
      <c r="X55" s="545"/>
      <c r="Y55" s="572"/>
      <c r="Z55" s="545"/>
      <c r="AA55" s="545"/>
      <c r="AB55" s="545"/>
      <c r="AC55" s="545"/>
      <c r="AD55" s="545"/>
      <c r="AE55" s="548"/>
      <c r="AK55" s="92"/>
      <c r="AR55" s="41" t="s">
        <v>1008</v>
      </c>
      <c r="AY55" s="13" t="s">
        <v>623</v>
      </c>
      <c r="AZ55" s="127"/>
      <c r="BA55" s="127"/>
      <c r="BB55" s="127"/>
      <c r="BC55" s="127"/>
      <c r="BD55" s="127"/>
    </row>
    <row r="56" spans="1:56" ht="15" x14ac:dyDescent="0.25">
      <c r="A56" s="1020"/>
      <c r="B56" s="40" t="s">
        <v>299</v>
      </c>
      <c r="AR56" s="41" t="s">
        <v>1009</v>
      </c>
      <c r="AY56" s="13" t="s">
        <v>624</v>
      </c>
      <c r="AZ56" s="127"/>
      <c r="BA56" s="127"/>
      <c r="BB56" s="127"/>
      <c r="BC56" s="127"/>
      <c r="BD56" s="127"/>
    </row>
    <row r="57" spans="1:56" x14ac:dyDescent="0.2">
      <c r="A57" s="1020"/>
      <c r="B57" s="42" t="s">
        <v>300</v>
      </c>
      <c r="C57" s="43"/>
      <c r="I57" s="13"/>
      <c r="J57" s="13"/>
      <c r="K57" s="13"/>
      <c r="L57" s="13"/>
      <c r="M57" s="13"/>
      <c r="N57" s="13"/>
      <c r="O57" s="13"/>
      <c r="P57" s="13"/>
      <c r="Q57" s="13"/>
      <c r="R57" s="13"/>
      <c r="AL57" s="92"/>
      <c r="AR57" s="41" t="s">
        <v>1010</v>
      </c>
      <c r="AY57" s="127"/>
      <c r="AZ57" s="127"/>
      <c r="BA57" s="127"/>
      <c r="BB57" s="127"/>
      <c r="BC57" s="127"/>
      <c r="BD57" s="127"/>
    </row>
    <row r="58" spans="1:56" ht="12.75" customHeight="1" x14ac:dyDescent="0.2">
      <c r="A58" s="1020"/>
      <c r="B58" s="44" t="s">
        <v>301</v>
      </c>
      <c r="C58" s="43"/>
      <c r="I58" s="13"/>
      <c r="J58" s="13"/>
      <c r="K58" s="13"/>
      <c r="L58" s="13"/>
      <c r="M58" s="13"/>
      <c r="N58" s="13"/>
      <c r="O58" s="13"/>
      <c r="P58" s="13"/>
      <c r="Q58" s="13"/>
      <c r="R58" s="13"/>
      <c r="AL58" s="92"/>
      <c r="AR58" s="41" t="s">
        <v>1011</v>
      </c>
    </row>
    <row r="59" spans="1:56" x14ac:dyDescent="0.2">
      <c r="A59" s="1020"/>
      <c r="B59" s="42" t="s">
        <v>302</v>
      </c>
      <c r="C59" s="43"/>
      <c r="I59" s="13"/>
      <c r="J59" s="13"/>
      <c r="K59" s="13"/>
      <c r="L59" s="13"/>
      <c r="M59" s="13"/>
      <c r="N59" s="13"/>
      <c r="O59" s="13"/>
      <c r="P59" s="13"/>
      <c r="Q59" s="13"/>
      <c r="R59" s="13"/>
      <c r="AL59" s="92"/>
      <c r="AR59" s="41" t="s">
        <v>1012</v>
      </c>
    </row>
    <row r="60" spans="1:56" ht="15.75" x14ac:dyDescent="0.2">
      <c r="A60" s="1020"/>
      <c r="B60" s="42" t="s">
        <v>407</v>
      </c>
      <c r="C60" s="43"/>
      <c r="I60" s="13"/>
      <c r="J60" s="13"/>
      <c r="K60" s="13"/>
      <c r="L60" s="13"/>
      <c r="M60" s="13"/>
      <c r="N60" s="13"/>
      <c r="O60" s="13"/>
      <c r="P60" s="13"/>
      <c r="Q60" s="13"/>
      <c r="R60" s="13"/>
      <c r="AL60" s="92"/>
      <c r="AR60" s="41" t="s">
        <v>669</v>
      </c>
    </row>
    <row r="61" spans="1:56" x14ac:dyDescent="0.2">
      <c r="A61" s="1020"/>
      <c r="B61" s="45" t="s">
        <v>303</v>
      </c>
      <c r="C61" s="43"/>
      <c r="I61" s="13"/>
      <c r="J61" s="13"/>
      <c r="K61" s="13"/>
      <c r="L61" s="13"/>
      <c r="M61" s="13"/>
      <c r="N61" s="13"/>
      <c r="O61" s="13"/>
      <c r="P61" s="13"/>
      <c r="Q61" s="13"/>
      <c r="R61" s="13"/>
      <c r="AR61" s="41" t="s">
        <v>1013</v>
      </c>
      <c r="AS61" s="92"/>
    </row>
    <row r="62" spans="1:56" ht="13.5" thickBot="1" x14ac:dyDescent="0.25">
      <c r="A62" s="1020"/>
      <c r="B62" s="46" t="s">
        <v>304</v>
      </c>
      <c r="C62" s="43"/>
      <c r="E62" s="94" t="s">
        <v>405</v>
      </c>
      <c r="I62" s="13"/>
      <c r="J62" s="13"/>
      <c r="K62" s="13"/>
      <c r="L62" s="13"/>
      <c r="M62" s="13"/>
      <c r="N62" s="13"/>
      <c r="O62" s="13"/>
      <c r="P62" s="13"/>
      <c r="Q62" s="13"/>
      <c r="R62" s="13"/>
      <c r="AR62" s="41" t="s">
        <v>615</v>
      </c>
      <c r="AT62" s="573"/>
      <c r="AU62" s="573"/>
      <c r="AV62" s="573"/>
      <c r="AW62" s="573"/>
      <c r="AX62" s="573"/>
      <c r="AY62" s="573"/>
      <c r="AZ62" s="573"/>
      <c r="BA62" s="573"/>
    </row>
    <row r="63" spans="1:56" ht="13.5" thickBot="1" x14ac:dyDescent="0.25">
      <c r="A63" s="1020"/>
      <c r="B63" s="47" t="s">
        <v>305</v>
      </c>
      <c r="C63" s="48" t="s">
        <v>67</v>
      </c>
      <c r="E63" s="94" t="s">
        <v>66</v>
      </c>
      <c r="F63" s="95" t="s">
        <v>306</v>
      </c>
      <c r="G63" s="95" t="s">
        <v>380</v>
      </c>
      <c r="I63" s="13"/>
      <c r="J63" s="13"/>
      <c r="K63" s="13"/>
      <c r="L63" s="13"/>
      <c r="M63" s="13"/>
      <c r="N63" s="13"/>
      <c r="O63" s="13"/>
      <c r="P63" s="13"/>
      <c r="Q63" s="13"/>
      <c r="R63" s="13"/>
      <c r="AR63" s="41" t="s">
        <v>1014</v>
      </c>
      <c r="AT63" s="92"/>
      <c r="AZ63" s="573"/>
      <c r="BA63" s="573"/>
    </row>
    <row r="64" spans="1:56" x14ac:dyDescent="0.2">
      <c r="A64" s="1020"/>
      <c r="B64" s="49" t="s">
        <v>255</v>
      </c>
      <c r="C64" s="50">
        <v>6.7</v>
      </c>
      <c r="D64" s="41" t="s">
        <v>306</v>
      </c>
      <c r="E64" s="41" t="s">
        <v>377</v>
      </c>
      <c r="F64" s="96">
        <v>0.28000000000000003</v>
      </c>
      <c r="G64" s="96">
        <v>0.72</v>
      </c>
      <c r="I64" s="13"/>
      <c r="J64" s="574"/>
      <c r="K64" s="574"/>
      <c r="L64" s="575"/>
      <c r="M64" s="575"/>
      <c r="N64" s="575"/>
      <c r="O64" s="575"/>
      <c r="P64" s="575"/>
      <c r="Q64" s="575"/>
      <c r="R64" s="13"/>
      <c r="AJ64" s="94"/>
      <c r="AZ64" s="573"/>
      <c r="BA64" s="573"/>
    </row>
    <row r="65" spans="1:61" ht="13.5" thickBot="1" x14ac:dyDescent="0.25">
      <c r="A65" s="1020"/>
      <c r="B65" s="49" t="s">
        <v>68</v>
      </c>
      <c r="C65" s="50">
        <v>2.2999999999999998</v>
      </c>
      <c r="E65" s="41" t="s">
        <v>378</v>
      </c>
      <c r="F65" s="96">
        <v>0.76642335766423353</v>
      </c>
      <c r="G65" s="96">
        <v>0.23357664233576647</v>
      </c>
      <c r="I65" s="13"/>
      <c r="J65" s="574"/>
      <c r="K65" s="574"/>
      <c r="L65" s="575"/>
      <c r="M65" s="575"/>
      <c r="N65" s="575"/>
      <c r="O65" s="575"/>
      <c r="P65" s="575"/>
      <c r="Q65" s="575"/>
      <c r="R65" s="13"/>
      <c r="AZ65" s="573"/>
      <c r="BA65" s="573"/>
      <c r="BC65" s="41" t="s">
        <v>678</v>
      </c>
    </row>
    <row r="66" spans="1:61" x14ac:dyDescent="0.2">
      <c r="A66" s="1020"/>
      <c r="B66" s="120" t="s">
        <v>383</v>
      </c>
      <c r="C66" s="122">
        <f>0.9*C65</f>
        <v>2.0699999999999998</v>
      </c>
      <c r="D66" s="41" t="s">
        <v>385</v>
      </c>
      <c r="E66" s="41" t="s">
        <v>379</v>
      </c>
      <c r="F66" s="96">
        <v>0.2857142857142857</v>
      </c>
      <c r="G66" s="96">
        <v>0.7142857142857143</v>
      </c>
      <c r="I66" s="13"/>
      <c r="J66" s="574"/>
      <c r="K66" s="574"/>
      <c r="L66" s="575"/>
      <c r="M66" s="575"/>
      <c r="N66" s="575"/>
      <c r="O66" s="575"/>
      <c r="P66" s="575"/>
      <c r="Q66" s="575"/>
      <c r="R66" s="13"/>
      <c r="AS66" s="13"/>
      <c r="AT66" s="13"/>
      <c r="AU66" s="13"/>
      <c r="AV66" s="13"/>
      <c r="AZ66" s="573"/>
      <c r="BA66" s="573"/>
      <c r="BC66" s="576" t="s">
        <v>250</v>
      </c>
      <c r="BD66" s="577"/>
    </row>
    <row r="67" spans="1:61" x14ac:dyDescent="0.2">
      <c r="A67" s="1020"/>
      <c r="B67" s="49" t="s">
        <v>307</v>
      </c>
      <c r="C67" s="50">
        <v>0.7</v>
      </c>
      <c r="I67" s="13"/>
      <c r="J67" s="574"/>
      <c r="K67" s="574"/>
      <c r="L67" s="578"/>
      <c r="M67" s="575"/>
      <c r="N67" s="575"/>
      <c r="O67" s="578"/>
      <c r="P67" s="578"/>
      <c r="Q67" s="575"/>
      <c r="R67" s="13"/>
      <c r="AS67" s="13"/>
      <c r="AT67" s="13"/>
      <c r="AU67" s="13"/>
      <c r="AV67" s="13"/>
      <c r="AZ67" s="573"/>
      <c r="BA67" s="573"/>
      <c r="BC67" s="532"/>
      <c r="BD67" s="579" t="s">
        <v>228</v>
      </c>
    </row>
    <row r="68" spans="1:61" x14ac:dyDescent="0.2">
      <c r="A68" s="1020"/>
      <c r="B68" s="49" t="s">
        <v>71</v>
      </c>
      <c r="C68" s="50">
        <v>0.2</v>
      </c>
      <c r="I68" s="13"/>
      <c r="J68" s="13"/>
      <c r="K68" s="13"/>
      <c r="L68" s="13"/>
      <c r="M68" s="13"/>
      <c r="N68" s="13"/>
      <c r="O68" s="13"/>
      <c r="P68" s="13"/>
      <c r="Q68" s="13"/>
      <c r="R68" s="13"/>
      <c r="AS68" s="13"/>
      <c r="AT68" s="8"/>
      <c r="AU68" s="8"/>
      <c r="AV68" s="13"/>
      <c r="AZ68" s="573"/>
      <c r="BA68" s="573"/>
      <c r="BC68" s="580" t="s">
        <v>681</v>
      </c>
      <c r="BD68" s="581">
        <f>W141</f>
        <v>0.24</v>
      </c>
    </row>
    <row r="69" spans="1:61" x14ac:dyDescent="0.2">
      <c r="A69" s="1020"/>
      <c r="B69" s="49" t="s">
        <v>308</v>
      </c>
      <c r="C69" s="50">
        <v>0.5</v>
      </c>
      <c r="I69" s="13"/>
      <c r="J69" s="13"/>
      <c r="K69" s="13"/>
      <c r="L69" s="13"/>
      <c r="M69" s="13"/>
      <c r="N69" s="13"/>
      <c r="O69" s="13"/>
      <c r="P69" s="13"/>
      <c r="Q69" s="13"/>
      <c r="R69" s="13"/>
      <c r="AS69" s="13"/>
      <c r="AT69" s="8"/>
      <c r="AU69" s="8"/>
      <c r="AV69" s="13"/>
      <c r="AZ69" s="573"/>
      <c r="BA69" s="573"/>
      <c r="BC69" s="580" t="s">
        <v>224</v>
      </c>
      <c r="BD69" s="581">
        <f>X141</f>
        <v>0.33</v>
      </c>
    </row>
    <row r="70" spans="1:61" ht="13.5" thickBot="1" x14ac:dyDescent="0.25">
      <c r="A70" s="1020"/>
      <c r="B70" s="51" t="s">
        <v>309</v>
      </c>
      <c r="C70" s="121">
        <v>17.3</v>
      </c>
      <c r="I70" s="13"/>
      <c r="J70" s="13"/>
      <c r="K70" s="13"/>
      <c r="L70" s="13"/>
      <c r="M70" s="13"/>
      <c r="N70" s="13"/>
      <c r="O70" s="13"/>
      <c r="P70" s="13"/>
      <c r="Q70" s="13"/>
      <c r="R70" s="13"/>
      <c r="AS70" s="13"/>
      <c r="AV70" s="573"/>
      <c r="AW70" s="573"/>
      <c r="AX70" s="573"/>
      <c r="AY70" s="573"/>
      <c r="AZ70" s="573"/>
      <c r="BA70" s="573"/>
      <c r="BC70" s="582" t="s">
        <v>249</v>
      </c>
      <c r="BD70" s="581">
        <f>AA141</f>
        <v>0.4</v>
      </c>
    </row>
    <row r="71" spans="1:61" ht="13.5" thickBot="1" x14ac:dyDescent="0.25">
      <c r="A71" s="1020"/>
      <c r="AS71" s="13"/>
      <c r="AT71" s="573"/>
      <c r="AU71" s="573"/>
      <c r="AV71" s="573"/>
      <c r="AW71" s="573"/>
      <c r="AX71" s="573"/>
      <c r="AY71" s="573"/>
      <c r="AZ71" s="573"/>
      <c r="BA71" s="573"/>
      <c r="BC71" s="583" t="s">
        <v>90</v>
      </c>
      <c r="BD71" s="584">
        <f>Z141</f>
        <v>0.66</v>
      </c>
    </row>
    <row r="72" spans="1:61" ht="65.25" thickBot="1" x14ac:dyDescent="0.25">
      <c r="A72" s="1020"/>
      <c r="B72" s="52" t="s">
        <v>310</v>
      </c>
      <c r="C72" s="48">
        <v>1</v>
      </c>
      <c r="D72" s="1019" t="s">
        <v>311</v>
      </c>
      <c r="E72" s="1019"/>
      <c r="F72" s="1019"/>
      <c r="G72" s="1019"/>
      <c r="H72" s="1019"/>
    </row>
    <row r="73" spans="1:61" ht="13.5" thickBot="1" x14ac:dyDescent="0.25">
      <c r="A73" s="1020"/>
      <c r="B73" s="53"/>
      <c r="C73" s="53"/>
      <c r="D73" s="1019"/>
      <c r="E73" s="1019"/>
      <c r="F73" s="1019"/>
      <c r="G73" s="1019"/>
      <c r="H73" s="1019"/>
      <c r="AB73" s="519" t="s">
        <v>508</v>
      </c>
      <c r="AJ73" s="178" t="s">
        <v>608</v>
      </c>
      <c r="AK73" s="178" t="s">
        <v>613</v>
      </c>
      <c r="AT73" s="94" t="s">
        <v>641</v>
      </c>
      <c r="AV73" s="178" t="s">
        <v>613</v>
      </c>
      <c r="BC73" s="178" t="s">
        <v>644</v>
      </c>
      <c r="BD73" s="178" t="s">
        <v>613</v>
      </c>
      <c r="BF73" s="94" t="s">
        <v>647</v>
      </c>
    </row>
    <row r="74" spans="1:61" s="127" customFormat="1" x14ac:dyDescent="0.2">
      <c r="A74" s="1020"/>
      <c r="B74" s="100" t="s">
        <v>318</v>
      </c>
      <c r="C74" s="58"/>
      <c r="D74" s="59"/>
      <c r="E74" s="59"/>
      <c r="F74" s="59"/>
      <c r="G74" s="59"/>
      <c r="H74" s="59"/>
      <c r="I74" s="453"/>
      <c r="J74" s="453"/>
      <c r="K74" s="453"/>
      <c r="L74" s="453"/>
      <c r="M74" s="453"/>
      <c r="N74" s="453"/>
      <c r="O74" s="453"/>
      <c r="P74" s="453"/>
      <c r="Q74" s="585"/>
      <c r="R74" s="585"/>
      <c r="S74" s="585"/>
      <c r="T74" s="585"/>
      <c r="U74" s="585"/>
      <c r="V74" s="585"/>
      <c r="W74" s="585"/>
      <c r="X74" s="585"/>
      <c r="Y74" s="585"/>
      <c r="Z74" s="585"/>
      <c r="AA74" s="585"/>
      <c r="AB74" s="519"/>
      <c r="AJ74" s="41"/>
      <c r="AK74" s="997" t="s">
        <v>609</v>
      </c>
      <c r="AL74" s="998"/>
      <c r="AM74" s="527"/>
      <c r="AN74" s="999" t="s">
        <v>578</v>
      </c>
      <c r="AO74" s="1000"/>
      <c r="AP74" s="586"/>
      <c r="AQ74" s="527"/>
      <c r="AR74" s="531"/>
      <c r="AT74" s="587" t="s">
        <v>576</v>
      </c>
      <c r="AU74" s="789">
        <v>0.4</v>
      </c>
      <c r="AV74" s="997" t="s">
        <v>609</v>
      </c>
      <c r="AW74" s="998"/>
      <c r="AX74" s="527"/>
      <c r="AY74" s="999" t="s">
        <v>578</v>
      </c>
      <c r="AZ74" s="1000"/>
      <c r="BA74" s="531"/>
      <c r="BC74" s="41"/>
      <c r="BD74" s="997" t="s">
        <v>609</v>
      </c>
      <c r="BE74" s="998"/>
      <c r="BF74" s="1010" t="s">
        <v>648</v>
      </c>
      <c r="BG74" s="999" t="s">
        <v>578</v>
      </c>
      <c r="BH74" s="1000"/>
      <c r="BI74" s="1010" t="s">
        <v>648</v>
      </c>
    </row>
    <row r="75" spans="1:61" ht="12.75" customHeight="1" x14ac:dyDescent="0.2">
      <c r="A75" s="1020"/>
      <c r="B75" s="53"/>
      <c r="C75" s="53"/>
      <c r="D75" s="338"/>
      <c r="E75" s="338"/>
      <c r="F75" s="338"/>
      <c r="G75" s="338"/>
      <c r="H75" s="338"/>
      <c r="Q75" s="585"/>
      <c r="R75" s="588" t="s">
        <v>755</v>
      </c>
      <c r="S75" s="585"/>
      <c r="T75" s="585"/>
      <c r="U75" s="585"/>
      <c r="V75" s="585"/>
      <c r="W75" s="585"/>
      <c r="X75" s="585"/>
      <c r="Y75" s="585"/>
      <c r="Z75" s="585"/>
      <c r="AA75" s="585"/>
      <c r="AB75" s="519"/>
      <c r="AJ75" s="589"/>
      <c r="AK75" s="590" t="s">
        <v>611</v>
      </c>
      <c r="AL75" s="591" t="s">
        <v>610</v>
      </c>
      <c r="AM75" s="538" t="s">
        <v>612</v>
      </c>
      <c r="AN75" s="590" t="s">
        <v>611</v>
      </c>
      <c r="AO75" s="479" t="s">
        <v>610</v>
      </c>
      <c r="AP75" s="479"/>
      <c r="AQ75" s="592"/>
      <c r="AR75" s="558" t="s">
        <v>612</v>
      </c>
      <c r="AT75" s="1003" t="s">
        <v>643</v>
      </c>
      <c r="AU75" s="1004"/>
      <c r="AV75" s="590" t="s">
        <v>611</v>
      </c>
      <c r="AW75" s="591" t="s">
        <v>610</v>
      </c>
      <c r="AX75" s="538" t="s">
        <v>612</v>
      </c>
      <c r="AY75" s="590" t="s">
        <v>611</v>
      </c>
      <c r="AZ75" s="479" t="s">
        <v>610</v>
      </c>
      <c r="BA75" s="558" t="s">
        <v>612</v>
      </c>
      <c r="BB75" s="127"/>
      <c r="BC75" s="589"/>
      <c r="BD75" s="590" t="s">
        <v>611</v>
      </c>
      <c r="BE75" s="591" t="s">
        <v>610</v>
      </c>
      <c r="BF75" s="1011"/>
      <c r="BG75" s="590" t="s">
        <v>611</v>
      </c>
      <c r="BH75" s="479" t="s">
        <v>610</v>
      </c>
      <c r="BI75" s="1011"/>
    </row>
    <row r="76" spans="1:61" ht="15.75" x14ac:dyDescent="0.25">
      <c r="A76" s="1020"/>
      <c r="B76" s="571" t="s">
        <v>298</v>
      </c>
      <c r="C76" s="53"/>
      <c r="D76" s="338"/>
      <c r="E76" s="338"/>
      <c r="F76" s="338"/>
      <c r="G76" s="338"/>
      <c r="H76" s="338"/>
      <c r="Q76" s="585"/>
      <c r="R76" s="585"/>
      <c r="S76" s="1044" t="s">
        <v>518</v>
      </c>
      <c r="T76" s="1045"/>
      <c r="U76" s="585"/>
      <c r="V76" s="585"/>
      <c r="W76" s="585"/>
      <c r="X76" s="585"/>
      <c r="Y76" s="585"/>
      <c r="Z76" s="585"/>
      <c r="AA76" s="585"/>
      <c r="AB76" s="519"/>
      <c r="AJ76" s="503" t="s">
        <v>66</v>
      </c>
      <c r="AK76" s="593"/>
      <c r="AL76" s="594" t="s">
        <v>625</v>
      </c>
      <c r="AM76" s="595"/>
      <c r="AN76" s="596"/>
      <c r="AO76" s="479" t="s">
        <v>625</v>
      </c>
      <c r="AP76" s="479"/>
      <c r="AQ76" s="592"/>
      <c r="AR76" s="536"/>
      <c r="AT76" s="1005"/>
      <c r="AU76" s="1006"/>
      <c r="AV76" s="596"/>
      <c r="AW76" s="591" t="s">
        <v>625</v>
      </c>
      <c r="AX76" s="479"/>
      <c r="AY76" s="596"/>
      <c r="AZ76" s="479" t="s">
        <v>625</v>
      </c>
      <c r="BA76" s="536"/>
      <c r="BB76" s="127"/>
      <c r="BC76" s="503" t="s">
        <v>66</v>
      </c>
      <c r="BD76" s="593"/>
      <c r="BE76" s="594" t="s">
        <v>625</v>
      </c>
      <c r="BF76" s="1012"/>
      <c r="BG76" s="596"/>
      <c r="BH76" s="479" t="s">
        <v>625</v>
      </c>
      <c r="BI76" s="1012"/>
    </row>
    <row r="77" spans="1:61" ht="25.5" customHeight="1" x14ac:dyDescent="0.2">
      <c r="A77" s="1020"/>
      <c r="B77" s="53" t="s">
        <v>319</v>
      </c>
      <c r="C77" s="53"/>
      <c r="D77" s="338"/>
      <c r="E77" s="338"/>
      <c r="F77" s="338"/>
      <c r="G77" s="338"/>
      <c r="H77" s="338"/>
      <c r="Q77" s="585"/>
      <c r="R77" s="597" t="str">
        <f>INDEX(Texte,105,Fischzuchtanlage!$N$2)</f>
        <v>a) Lamellenklärer / Filterpresse oder ähnliches</v>
      </c>
      <c r="S77" s="1046" t="str">
        <f>INDEX(Texte,106,Fischzuchtanlage!$N$2)</f>
        <v>Die Feststoffe werden aus dem Zuchtbecken laufend entfernt (Bandfilter, Trommel/Scheibenfilter) und sofort mit einem Lamellenklärer , Filterpresse oder änlichem entwässert.</v>
      </c>
      <c r="T77" s="1047"/>
      <c r="U77" s="794"/>
      <c r="V77" s="794"/>
      <c r="W77" s="794"/>
      <c r="X77" s="794"/>
      <c r="Y77" s="794"/>
      <c r="Z77" s="794"/>
      <c r="AA77" s="795"/>
      <c r="AB77" s="486">
        <v>1</v>
      </c>
      <c r="AJ77" s="503" t="s">
        <v>629</v>
      </c>
      <c r="AK77" s="598">
        <f>AK31</f>
        <v>0</v>
      </c>
      <c r="AL77" s="509">
        <f>AK47</f>
        <v>0</v>
      </c>
      <c r="AM77" s="599">
        <f>AK77+AL77</f>
        <v>0</v>
      </c>
      <c r="AN77" s="559">
        <f>AN31</f>
        <v>0</v>
      </c>
      <c r="AO77" s="509">
        <f>AN47</f>
        <v>0</v>
      </c>
      <c r="AP77" s="509"/>
      <c r="AQ77" s="509"/>
      <c r="AR77" s="600">
        <f>AN77+AO77</f>
        <v>0</v>
      </c>
      <c r="AT77" s="1007"/>
      <c r="AU77" s="1008"/>
      <c r="AV77" s="507"/>
      <c r="AW77" s="507"/>
      <c r="AX77" s="507"/>
      <c r="AY77" s="507"/>
      <c r="AZ77" s="507"/>
      <c r="BA77" s="601"/>
      <c r="BB77" s="127"/>
      <c r="BC77" s="503" t="s">
        <v>629</v>
      </c>
      <c r="BD77" s="598">
        <f>AK31</f>
        <v>0</v>
      </c>
      <c r="BE77" s="509">
        <f>AZ47</f>
        <v>0</v>
      </c>
      <c r="BF77" s="599">
        <f>(BD77+BE77)*(1-BD70)</f>
        <v>0</v>
      </c>
      <c r="BG77" s="559">
        <f>AN31</f>
        <v>0</v>
      </c>
      <c r="BH77" s="509">
        <f>BC47</f>
        <v>0</v>
      </c>
      <c r="BI77" s="600">
        <f>(BG77+BH77)*(1-BD70)</f>
        <v>0</v>
      </c>
    </row>
    <row r="78" spans="1:61" ht="25.5" customHeight="1" x14ac:dyDescent="0.2">
      <c r="A78" s="1020"/>
      <c r="B78" s="9" t="s">
        <v>312</v>
      </c>
      <c r="D78" s="54"/>
      <c r="E78" s="54"/>
      <c r="Q78" s="585"/>
      <c r="R78" s="597" t="str">
        <f>INDEX(Texte,107,Fischzuchtanlage!$N$2)</f>
        <v>b) keine sofortige Entwässerung</v>
      </c>
      <c r="S78" s="1048" t="str">
        <f>INDEX(Texte,108,Fischzuchtanlage!$N$2)</f>
        <v>Werden die Feststoffe nicht abgetrennt und entwässert, erfolgt eine Rücklösung von Stoffen welche das Abwasser zusätzlich belasten. Es werden 30% bis 40% der Stoffe wieder freigesetzt.</v>
      </c>
      <c r="T78" s="1049"/>
      <c r="U78" s="794"/>
      <c r="V78" s="794"/>
      <c r="W78" s="794"/>
      <c r="X78" s="794"/>
      <c r="Y78" s="794"/>
      <c r="Z78" s="794"/>
      <c r="AA78" s="795"/>
      <c r="AB78" s="486">
        <v>2</v>
      </c>
      <c r="AJ78" s="503" t="s">
        <v>68</v>
      </c>
      <c r="AK78" s="598">
        <f>AK32</f>
        <v>0</v>
      </c>
      <c r="AL78" s="509">
        <f>AK48</f>
        <v>0</v>
      </c>
      <c r="AM78" s="599">
        <f t="shared" ref="AM78:AM80" si="3">AK78+AL78</f>
        <v>0</v>
      </c>
      <c r="AN78" s="559">
        <f>AN32</f>
        <v>0</v>
      </c>
      <c r="AO78" s="509">
        <f>AN48</f>
        <v>0</v>
      </c>
      <c r="AP78" s="509"/>
      <c r="AQ78" s="509"/>
      <c r="AR78" s="600">
        <f t="shared" ref="AR78:AR80" si="4">AN78+AO78</f>
        <v>0</v>
      </c>
      <c r="AT78" s="1029" t="s">
        <v>969</v>
      </c>
      <c r="AU78" s="1030"/>
      <c r="AV78" s="787">
        <f>AK31-($T$224*$AK$102/1000)</f>
        <v>0</v>
      </c>
      <c r="AW78" s="788" t="s">
        <v>968</v>
      </c>
      <c r="AX78" s="787">
        <f>AV78*$AW$86</f>
        <v>0</v>
      </c>
      <c r="AY78" s="787">
        <f>AN31-($T$224*$AK$102/1000)</f>
        <v>0</v>
      </c>
      <c r="AZ78" s="788" t="s">
        <v>968</v>
      </c>
      <c r="BA78" s="787">
        <f>AY78*$AW$86</f>
        <v>0</v>
      </c>
      <c r="BB78" s="127"/>
      <c r="BC78" s="503" t="s">
        <v>68</v>
      </c>
      <c r="BD78" s="598">
        <f>AK32</f>
        <v>0</v>
      </c>
      <c r="BE78" s="509">
        <f>AZ48</f>
        <v>0</v>
      </c>
      <c r="BF78" s="599">
        <f>(BD78+BE78)</f>
        <v>0</v>
      </c>
      <c r="BG78" s="559">
        <f>AN32</f>
        <v>0</v>
      </c>
      <c r="BH78" s="509">
        <f>BC48</f>
        <v>0</v>
      </c>
      <c r="BI78" s="600">
        <f>(BG78+BH78)</f>
        <v>0</v>
      </c>
    </row>
    <row r="79" spans="1:61" ht="13.5" thickBot="1" x14ac:dyDescent="0.25">
      <c r="A79" s="1020"/>
      <c r="B79" s="10" t="s">
        <v>313</v>
      </c>
      <c r="D79" s="602" t="s">
        <v>679</v>
      </c>
      <c r="Q79" s="585"/>
      <c r="R79" s="585"/>
      <c r="S79" s="585"/>
      <c r="T79" s="585"/>
      <c r="U79" s="585"/>
      <c r="V79" s="585"/>
      <c r="W79" s="585"/>
      <c r="X79" s="585"/>
      <c r="Y79" s="585"/>
      <c r="Z79" s="585"/>
      <c r="AA79" s="585"/>
      <c r="AB79" s="519"/>
      <c r="AJ79" s="503" t="s">
        <v>421</v>
      </c>
      <c r="AK79" s="598">
        <f>AK33</f>
        <v>0</v>
      </c>
      <c r="AL79" s="509">
        <f>AK49</f>
        <v>0</v>
      </c>
      <c r="AM79" s="599">
        <f t="shared" si="3"/>
        <v>0</v>
      </c>
      <c r="AN79" s="559">
        <f>AN33</f>
        <v>0</v>
      </c>
      <c r="AO79" s="509">
        <f>AN49</f>
        <v>0</v>
      </c>
      <c r="AP79" s="509"/>
      <c r="AQ79" s="509"/>
      <c r="AR79" s="600">
        <f t="shared" si="4"/>
        <v>0</v>
      </c>
      <c r="AT79" s="1001" t="s">
        <v>378</v>
      </c>
      <c r="AU79" s="1002"/>
      <c r="AV79" s="509">
        <f>AK32</f>
        <v>0</v>
      </c>
      <c r="AW79" s="509">
        <f>AS51</f>
        <v>0</v>
      </c>
      <c r="AX79" s="603">
        <f>AV79+AW79</f>
        <v>0</v>
      </c>
      <c r="AY79" s="509">
        <f>AN32</f>
        <v>0</v>
      </c>
      <c r="AZ79" s="509">
        <f>AV51</f>
        <v>0</v>
      </c>
      <c r="BA79" s="600">
        <f>AY79+AZ79</f>
        <v>0</v>
      </c>
      <c r="BB79" s="127"/>
      <c r="BC79" s="503" t="s">
        <v>421</v>
      </c>
      <c r="BD79" s="604"/>
      <c r="BE79" s="554"/>
      <c r="BF79" s="605"/>
      <c r="BG79" s="606"/>
      <c r="BH79" s="554"/>
      <c r="BI79" s="607"/>
    </row>
    <row r="80" spans="1:61" ht="13.5" thickBot="1" x14ac:dyDescent="0.25">
      <c r="A80" s="1020"/>
      <c r="B80" s="47" t="s">
        <v>305</v>
      </c>
      <c r="C80" s="115" t="s">
        <v>67</v>
      </c>
      <c r="D80" s="119" t="s">
        <v>382</v>
      </c>
      <c r="E80" s="5"/>
      <c r="G80" s="5"/>
      <c r="H80" s="5"/>
      <c r="AJ80" s="503" t="s">
        <v>71</v>
      </c>
      <c r="AK80" s="598">
        <f>AK34</f>
        <v>0</v>
      </c>
      <c r="AL80" s="509">
        <f>AK50</f>
        <v>0</v>
      </c>
      <c r="AM80" s="599">
        <f t="shared" si="3"/>
        <v>0</v>
      </c>
      <c r="AN80" s="559">
        <f>AN34</f>
        <v>0</v>
      </c>
      <c r="AO80" s="509">
        <f>AN50</f>
        <v>0</v>
      </c>
      <c r="AP80" s="509"/>
      <c r="AQ80" s="509"/>
      <c r="AR80" s="600">
        <f t="shared" si="4"/>
        <v>0</v>
      </c>
      <c r="AT80" s="1001" t="s">
        <v>661</v>
      </c>
      <c r="AU80" s="1002"/>
      <c r="AV80" s="509">
        <f>AV79*$AU$74</f>
        <v>0</v>
      </c>
      <c r="AW80" s="509">
        <f>AW79*$AU$74</f>
        <v>0</v>
      </c>
      <c r="AX80" s="603">
        <f>AV80+AW80</f>
        <v>0</v>
      </c>
      <c r="AY80" s="509">
        <f>AY79*$AU$74</f>
        <v>0</v>
      </c>
      <c r="AZ80" s="509">
        <f>AZ79*$AU$74</f>
        <v>0</v>
      </c>
      <c r="BA80" s="600">
        <f>AY80+AZ80</f>
        <v>0</v>
      </c>
      <c r="BB80" s="127"/>
      <c r="BC80" s="503" t="s">
        <v>71</v>
      </c>
      <c r="BD80" s="598">
        <f>AK34</f>
        <v>0</v>
      </c>
      <c r="BE80" s="509">
        <f>AZ50</f>
        <v>0</v>
      </c>
      <c r="BF80" s="599">
        <f>(BD80+BE80)*(1-BD69)</f>
        <v>0</v>
      </c>
      <c r="BG80" s="559">
        <f>AN34</f>
        <v>0</v>
      </c>
      <c r="BH80" s="509">
        <f>BC50</f>
        <v>0</v>
      </c>
      <c r="BI80" s="600">
        <f>(BG80+BH80)*(1-BD69)</f>
        <v>0</v>
      </c>
    </row>
    <row r="81" spans="1:61" x14ac:dyDescent="0.2">
      <c r="A81" s="1020"/>
      <c r="B81" s="55" t="s">
        <v>255</v>
      </c>
      <c r="C81" s="116">
        <f>C70*D81</f>
        <v>6.0549999999999997</v>
      </c>
      <c r="D81" s="119">
        <v>0.35</v>
      </c>
      <c r="E81" s="96"/>
      <c r="G81" s="92"/>
      <c r="H81" s="92"/>
      <c r="AJ81" s="608" t="s">
        <v>308</v>
      </c>
      <c r="AK81" s="994" t="s">
        <v>631</v>
      </c>
      <c r="AL81" s="995"/>
      <c r="AM81" s="599" t="e">
        <f>IF(AT26=1,(AM82/AL35*AL34)-AL80,AM82/AL35*AL34)</f>
        <v>#DIV/0!</v>
      </c>
      <c r="AN81" s="994" t="s">
        <v>631</v>
      </c>
      <c r="AO81" s="1009"/>
      <c r="AP81" s="1009"/>
      <c r="AQ81" s="995"/>
      <c r="AR81" s="600" t="e">
        <f>IF(AT26=1,AR82/AO35*AO34-AO80,AR82/AO35*AO34)</f>
        <v>#DIV/0!</v>
      </c>
      <c r="AT81" s="1001"/>
      <c r="AU81" s="1002"/>
      <c r="AV81" s="554"/>
      <c r="AW81" s="554"/>
      <c r="AX81" s="554"/>
      <c r="AY81" s="554"/>
      <c r="AZ81" s="609"/>
      <c r="BA81" s="610"/>
      <c r="BC81" s="608"/>
      <c r="BD81" s="994"/>
      <c r="BE81" s="995"/>
      <c r="BF81" s="605"/>
      <c r="BG81" s="994"/>
      <c r="BH81" s="1009"/>
      <c r="BI81" s="607"/>
    </row>
    <row r="82" spans="1:61" ht="13.5" thickBot="1" x14ac:dyDescent="0.25">
      <c r="A82" s="1020"/>
      <c r="B82" s="49" t="s">
        <v>68</v>
      </c>
      <c r="C82" s="117">
        <f>C67*D82</f>
        <v>0.161</v>
      </c>
      <c r="D82" s="119">
        <v>0.23</v>
      </c>
      <c r="E82" s="96"/>
      <c r="G82" s="92"/>
      <c r="H82" s="92"/>
      <c r="AJ82" s="503" t="s">
        <v>637</v>
      </c>
      <c r="AK82" s="611">
        <f>AL35*(1-AV35)</f>
        <v>0</v>
      </c>
      <c r="AL82" s="612">
        <f>IF(AT26=1,AL35-AK82,0)</f>
        <v>0</v>
      </c>
      <c r="AM82" s="613">
        <f>AK82+AL82</f>
        <v>0</v>
      </c>
      <c r="AN82" s="614">
        <f>AO35*(1-AV35)</f>
        <v>0</v>
      </c>
      <c r="AO82" s="612">
        <f>IF(AT26=1,AO35-AN82,0)</f>
        <v>0</v>
      </c>
      <c r="AP82" s="612"/>
      <c r="AQ82" s="567"/>
      <c r="AR82" s="615">
        <f>AN82+AO82</f>
        <v>0</v>
      </c>
      <c r="AT82" s="1027" t="s">
        <v>71</v>
      </c>
      <c r="AU82" s="1028"/>
      <c r="AV82" s="612">
        <f>AK34-AX78</f>
        <v>0</v>
      </c>
      <c r="AW82" s="567">
        <f>AS50</f>
        <v>0</v>
      </c>
      <c r="AX82" s="616">
        <f>AV82+AW82</f>
        <v>0</v>
      </c>
      <c r="AY82" s="612">
        <f>AN34-BA78</f>
        <v>0</v>
      </c>
      <c r="AZ82" s="567">
        <f>AV50</f>
        <v>0</v>
      </c>
      <c r="BA82" s="615">
        <f>AY82+AZ82</f>
        <v>0</v>
      </c>
      <c r="BC82" s="503" t="s">
        <v>637</v>
      </c>
      <c r="BD82" s="617"/>
      <c r="BE82" s="612"/>
      <c r="BF82" s="613"/>
      <c r="BG82" s="614"/>
      <c r="BH82" s="612"/>
      <c r="BI82" s="615"/>
    </row>
    <row r="83" spans="1:61" x14ac:dyDescent="0.2">
      <c r="A83" s="1020"/>
      <c r="B83" s="101" t="s">
        <v>386</v>
      </c>
      <c r="C83" s="618">
        <f>0.9*C82</f>
        <v>0.1449</v>
      </c>
      <c r="D83" s="119"/>
      <c r="E83" s="96"/>
      <c r="G83" s="92"/>
      <c r="H83" s="92"/>
      <c r="AJ83" s="41" t="s">
        <v>627</v>
      </c>
      <c r="AT83" s="41" t="s">
        <v>575</v>
      </c>
    </row>
    <row r="84" spans="1:61" ht="13.5" thickBot="1" x14ac:dyDescent="0.25">
      <c r="A84" s="1020"/>
      <c r="B84" s="56" t="s">
        <v>71</v>
      </c>
      <c r="C84" s="118">
        <f>C69*D84</f>
        <v>0.20499999999999999</v>
      </c>
      <c r="D84" s="119">
        <v>0.41</v>
      </c>
      <c r="E84" s="96"/>
      <c r="G84" s="92"/>
      <c r="H84" s="92"/>
      <c r="AJ84" s="41" t="s">
        <v>628</v>
      </c>
      <c r="AT84" s="41" t="s">
        <v>1016</v>
      </c>
      <c r="BC84" s="13" t="s">
        <v>649</v>
      </c>
    </row>
    <row r="85" spans="1:61" x14ac:dyDescent="0.2">
      <c r="A85" s="1020"/>
      <c r="AJ85" s="41" t="s">
        <v>626</v>
      </c>
      <c r="AT85" s="41" t="s">
        <v>1017</v>
      </c>
    </row>
    <row r="86" spans="1:61" x14ac:dyDescent="0.2">
      <c r="A86" s="1020"/>
      <c r="B86" s="9" t="s">
        <v>314</v>
      </c>
      <c r="AJ86" s="41" t="s">
        <v>630</v>
      </c>
      <c r="AT86" s="41" t="s">
        <v>1018</v>
      </c>
      <c r="AW86" s="790">
        <v>1.4999999999999999E-2</v>
      </c>
    </row>
    <row r="87" spans="1:61" ht="13.5" thickBot="1" x14ac:dyDescent="0.25">
      <c r="A87" s="1020"/>
      <c r="B87" s="10" t="s">
        <v>313</v>
      </c>
    </row>
    <row r="88" spans="1:61" ht="13.5" thickBot="1" x14ac:dyDescent="0.25">
      <c r="A88" s="1020"/>
      <c r="B88" s="47" t="s">
        <v>305</v>
      </c>
      <c r="C88" s="48" t="s">
        <v>67</v>
      </c>
      <c r="AJ88" s="41" t="s">
        <v>396</v>
      </c>
      <c r="AK88" s="41" t="s">
        <v>609</v>
      </c>
      <c r="AN88" s="41" t="s">
        <v>729</v>
      </c>
      <c r="AT88" s="41" t="s">
        <v>396</v>
      </c>
      <c r="AU88" s="41" t="s">
        <v>609</v>
      </c>
      <c r="AW88" s="41" t="s">
        <v>666</v>
      </c>
      <c r="AX88" s="41" t="s">
        <v>729</v>
      </c>
    </row>
    <row r="89" spans="1:61" x14ac:dyDescent="0.2">
      <c r="A89" s="1020"/>
      <c r="B89" s="55" t="s">
        <v>315</v>
      </c>
      <c r="C89" s="97">
        <f>C70-C81</f>
        <v>11.245000000000001</v>
      </c>
      <c r="AJ89" s="526" t="s">
        <v>636</v>
      </c>
      <c r="AK89" s="619" t="s">
        <v>381</v>
      </c>
      <c r="AL89" s="619" t="s">
        <v>470</v>
      </c>
      <c r="AM89" s="620" t="s">
        <v>552</v>
      </c>
      <c r="AN89" s="621" t="s">
        <v>381</v>
      </c>
      <c r="AO89" s="619" t="s">
        <v>470</v>
      </c>
      <c r="AP89" s="620" t="s">
        <v>552</v>
      </c>
      <c r="AQ89" s="14"/>
      <c r="AT89" s="526" t="s">
        <v>636</v>
      </c>
      <c r="AU89" s="619" t="s">
        <v>381</v>
      </c>
      <c r="AV89" s="619" t="s">
        <v>470</v>
      </c>
      <c r="AW89" s="620" t="s">
        <v>552</v>
      </c>
      <c r="AX89" s="621" t="s">
        <v>381</v>
      </c>
      <c r="AY89" s="619" t="s">
        <v>470</v>
      </c>
      <c r="AZ89" s="620" t="s">
        <v>552</v>
      </c>
      <c r="BC89" s="526" t="s">
        <v>636</v>
      </c>
      <c r="BD89" s="619" t="s">
        <v>381</v>
      </c>
      <c r="BE89" s="619" t="s">
        <v>470</v>
      </c>
      <c r="BF89" s="620" t="s">
        <v>552</v>
      </c>
    </row>
    <row r="90" spans="1:61" x14ac:dyDescent="0.2">
      <c r="A90" s="1020"/>
      <c r="B90" s="49" t="s">
        <v>70</v>
      </c>
      <c r="C90" s="98">
        <f>C67-C82</f>
        <v>0.53899999999999992</v>
      </c>
      <c r="AJ90" s="49" t="s">
        <v>632</v>
      </c>
      <c r="AK90" s="622">
        <f>AM77</f>
        <v>0</v>
      </c>
      <c r="AL90" s="622">
        <f>AM80</f>
        <v>0</v>
      </c>
      <c r="AM90" s="623">
        <f>AM78</f>
        <v>0</v>
      </c>
      <c r="AN90" s="624">
        <f>AR77</f>
        <v>0</v>
      </c>
      <c r="AO90" s="622">
        <f>AR80</f>
        <v>0</v>
      </c>
      <c r="AP90" s="623">
        <f>AR78</f>
        <v>0</v>
      </c>
      <c r="AQ90" s="18"/>
      <c r="AT90" s="49" t="s">
        <v>670</v>
      </c>
      <c r="AU90" s="622"/>
      <c r="AV90" s="622">
        <f>AX82</f>
        <v>0</v>
      </c>
      <c r="AW90" s="623">
        <f>AX79</f>
        <v>0</v>
      </c>
      <c r="AX90" s="624"/>
      <c r="AY90" s="622">
        <f>BA82</f>
        <v>0</v>
      </c>
      <c r="AZ90" s="623">
        <f>BA79</f>
        <v>0</v>
      </c>
      <c r="BC90" s="49" t="s">
        <v>632</v>
      </c>
      <c r="BD90" s="625">
        <f>BD77+BE77</f>
        <v>0</v>
      </c>
      <c r="BE90" s="625">
        <f>BD80+BE80</f>
        <v>0</v>
      </c>
      <c r="BF90" s="626">
        <f>BD78+BE78</f>
        <v>0</v>
      </c>
    </row>
    <row r="91" spans="1:61" ht="13.5" thickBot="1" x14ac:dyDescent="0.25">
      <c r="A91" s="1020"/>
      <c r="B91" s="56" t="s">
        <v>72</v>
      </c>
      <c r="C91" s="99">
        <f>C69-C84</f>
        <v>0.29500000000000004</v>
      </c>
      <c r="AJ91" s="49" t="s">
        <v>633</v>
      </c>
      <c r="AK91" s="622" t="e">
        <f>AK82/AL35*AL31</f>
        <v>#DIV/0!</v>
      </c>
      <c r="AL91" s="622" t="e">
        <f>AK82/AL35*AL34</f>
        <v>#DIV/0!</v>
      </c>
      <c r="AM91" s="623" t="e">
        <f>AK82/AL35*AL32</f>
        <v>#DIV/0!</v>
      </c>
      <c r="AN91" s="624" t="e">
        <f>AN82/AO35*AO31</f>
        <v>#DIV/0!</v>
      </c>
      <c r="AO91" s="622" t="e">
        <f>AN82/AO35*AO34</f>
        <v>#DIV/0!</v>
      </c>
      <c r="AP91" s="623" t="e">
        <f>AN82/AO35*AO32</f>
        <v>#DIV/0!</v>
      </c>
      <c r="AQ91" s="18"/>
      <c r="AT91" s="49" t="s">
        <v>663</v>
      </c>
      <c r="AU91" s="622"/>
      <c r="AV91" s="622">
        <f>AL34*(1-AS44)</f>
        <v>0</v>
      </c>
      <c r="AW91" s="623">
        <f>AL32*(1-AS44)</f>
        <v>0</v>
      </c>
      <c r="AX91" s="624"/>
      <c r="AY91" s="622">
        <f>AO34*(1-AS44)</f>
        <v>0</v>
      </c>
      <c r="AZ91" s="623">
        <f>AO32*(1-AS44)</f>
        <v>0</v>
      </c>
      <c r="BC91" s="49" t="s">
        <v>633</v>
      </c>
      <c r="BD91" s="625"/>
      <c r="BE91" s="625"/>
      <c r="BF91" s="626"/>
    </row>
    <row r="92" spans="1:61" s="127" customFormat="1" x14ac:dyDescent="0.2">
      <c r="A92" s="1020"/>
      <c r="AJ92" s="120" t="s">
        <v>638</v>
      </c>
      <c r="AK92" s="622">
        <f>AL47</f>
        <v>0</v>
      </c>
      <c r="AL92" s="622">
        <f>AL50</f>
        <v>0</v>
      </c>
      <c r="AM92" s="623">
        <f>AL48</f>
        <v>0</v>
      </c>
      <c r="AN92" s="624">
        <f>AO47</f>
        <v>0</v>
      </c>
      <c r="AO92" s="622">
        <f>AO50</f>
        <v>0</v>
      </c>
      <c r="AP92" s="623">
        <f>AO48</f>
        <v>0</v>
      </c>
      <c r="AQ92" s="18"/>
      <c r="AT92" s="120" t="s">
        <v>662</v>
      </c>
      <c r="AU92" s="622"/>
      <c r="AV92" s="622">
        <f>AT50</f>
        <v>0</v>
      </c>
      <c r="AW92" s="623">
        <f>AT51</f>
        <v>0</v>
      </c>
      <c r="AX92" s="624"/>
      <c r="AY92" s="622">
        <f>AW50</f>
        <v>0</v>
      </c>
      <c r="AZ92" s="623">
        <f>AW51</f>
        <v>0</v>
      </c>
      <c r="BC92" s="120" t="s">
        <v>638</v>
      </c>
      <c r="BD92" s="18">
        <f>BA47</f>
        <v>0</v>
      </c>
      <c r="BE92" s="18">
        <f>BA50</f>
        <v>0</v>
      </c>
      <c r="BF92" s="627">
        <f>BA48</f>
        <v>0</v>
      </c>
    </row>
    <row r="93" spans="1:61" s="127" customFormat="1" x14ac:dyDescent="0.2">
      <c r="A93" s="525"/>
      <c r="B93" s="525"/>
      <c r="C93" s="525"/>
      <c r="D93" s="525"/>
      <c r="E93" s="525"/>
      <c r="F93" s="525"/>
      <c r="G93" s="525"/>
      <c r="H93" s="525"/>
      <c r="I93" s="525"/>
      <c r="J93" s="525"/>
      <c r="K93" s="525"/>
      <c r="L93" s="525"/>
      <c r="M93" s="525"/>
      <c r="N93" s="525"/>
      <c r="O93" s="525"/>
      <c r="P93" s="525"/>
      <c r="AJ93" s="628" t="s">
        <v>635</v>
      </c>
      <c r="AK93" s="629" t="e">
        <f t="shared" ref="AK93:AP93" si="5">SUM(AK90:AK92)</f>
        <v>#DIV/0!</v>
      </c>
      <c r="AL93" s="629" t="e">
        <f t="shared" si="5"/>
        <v>#DIV/0!</v>
      </c>
      <c r="AM93" s="630" t="e">
        <f t="shared" si="5"/>
        <v>#DIV/0!</v>
      </c>
      <c r="AN93" s="631" t="e">
        <f t="shared" si="5"/>
        <v>#DIV/0!</v>
      </c>
      <c r="AO93" s="629" t="e">
        <f t="shared" si="5"/>
        <v>#DIV/0!</v>
      </c>
      <c r="AP93" s="630" t="e">
        <f t="shared" si="5"/>
        <v>#DIV/0!</v>
      </c>
      <c r="AQ93" s="629"/>
      <c r="AT93" s="628" t="s">
        <v>635</v>
      </c>
      <c r="AU93" s="629">
        <f t="shared" ref="AU93:AZ93" si="6">SUM(AU90:AU92)</f>
        <v>0</v>
      </c>
      <c r="AV93" s="629">
        <f t="shared" si="6"/>
        <v>0</v>
      </c>
      <c r="AW93" s="630">
        <f t="shared" si="6"/>
        <v>0</v>
      </c>
      <c r="AX93" s="631">
        <f t="shared" si="6"/>
        <v>0</v>
      </c>
      <c r="AY93" s="629">
        <f t="shared" si="6"/>
        <v>0</v>
      </c>
      <c r="AZ93" s="630">
        <f t="shared" si="6"/>
        <v>0</v>
      </c>
      <c r="BC93" s="628" t="s">
        <v>635</v>
      </c>
      <c r="BD93" s="629">
        <f>SUM(BD90:BD92)</f>
        <v>0</v>
      </c>
      <c r="BE93" s="629">
        <f>SUM(BE90:BE92)</f>
        <v>0</v>
      </c>
      <c r="BF93" s="630">
        <f>SUM(BF90:BF92)</f>
        <v>0</v>
      </c>
    </row>
    <row r="94" spans="1:61" ht="13.5" thickBot="1" x14ac:dyDescent="0.25">
      <c r="D94" s="39"/>
      <c r="AJ94" s="632" t="s">
        <v>657</v>
      </c>
      <c r="AK94" s="633">
        <f>AK31+AL31</f>
        <v>0</v>
      </c>
      <c r="AL94" s="633">
        <f>AK34+AL34</f>
        <v>0</v>
      </c>
      <c r="AM94" s="634">
        <f>AK32+AL32</f>
        <v>0</v>
      </c>
      <c r="AN94" s="635">
        <f>AN31+AO31</f>
        <v>0</v>
      </c>
      <c r="AO94" s="633">
        <f>AN34+AO34</f>
        <v>0</v>
      </c>
      <c r="AP94" s="634">
        <f>AN32+AO32</f>
        <v>0</v>
      </c>
      <c r="AQ94" s="629"/>
      <c r="AT94" s="632" t="s">
        <v>665</v>
      </c>
      <c r="AU94" s="633">
        <f>AK31+AL31</f>
        <v>0</v>
      </c>
      <c r="AV94" s="633">
        <f>AK34+AL34</f>
        <v>0</v>
      </c>
      <c r="AW94" s="634">
        <f>AK32+AL32</f>
        <v>0</v>
      </c>
      <c r="AX94" s="635">
        <f>AN31+AO31</f>
        <v>0</v>
      </c>
      <c r="AY94" s="633">
        <f>AN34+AO34</f>
        <v>0</v>
      </c>
      <c r="AZ94" s="634">
        <f>AN32+AO32</f>
        <v>0</v>
      </c>
      <c r="BC94" s="632" t="s">
        <v>634</v>
      </c>
      <c r="BD94" s="633">
        <f>AK31+AL31</f>
        <v>0</v>
      </c>
      <c r="BE94" s="633">
        <f>AK34+AL34</f>
        <v>0</v>
      </c>
      <c r="BF94" s="634">
        <f>AK32+AL32</f>
        <v>0</v>
      </c>
    </row>
    <row r="95" spans="1:61" x14ac:dyDescent="0.2">
      <c r="B95" s="199" t="s">
        <v>237</v>
      </c>
      <c r="C95" s="636" t="s">
        <v>238</v>
      </c>
      <c r="D95" s="602" t="s">
        <v>606</v>
      </c>
      <c r="AT95" s="120" t="s">
        <v>1019</v>
      </c>
    </row>
    <row r="96" spans="1:61" ht="13.5" thickBot="1" x14ac:dyDescent="0.25">
      <c r="B96" s="56" t="s">
        <v>239</v>
      </c>
      <c r="C96" s="637" t="s">
        <v>241</v>
      </c>
      <c r="D96" s="602"/>
      <c r="AJ96" s="41" t="s">
        <v>639</v>
      </c>
      <c r="AT96" s="120" t="s">
        <v>664</v>
      </c>
    </row>
    <row r="97" spans="1:46" x14ac:dyDescent="0.2">
      <c r="B97" s="638" t="s">
        <v>75</v>
      </c>
      <c r="C97" s="639">
        <v>0.3</v>
      </c>
      <c r="D97" s="602"/>
      <c r="AJ97" s="41" t="s">
        <v>640</v>
      </c>
      <c r="AT97" s="120" t="s">
        <v>1020</v>
      </c>
    </row>
    <row r="98" spans="1:46" x14ac:dyDescent="0.2">
      <c r="B98" s="640" t="s">
        <v>240</v>
      </c>
      <c r="C98" s="639">
        <v>0.5</v>
      </c>
      <c r="D98" s="602"/>
    </row>
    <row r="99" spans="1:46" ht="13.5" thickBot="1" x14ac:dyDescent="0.25">
      <c r="B99" s="202" t="s">
        <v>89</v>
      </c>
      <c r="C99" s="637">
        <v>0.6</v>
      </c>
      <c r="D99" s="602"/>
    </row>
    <row r="100" spans="1:46" s="127" customFormat="1" ht="16.5" thickBot="1" x14ac:dyDescent="0.3">
      <c r="AJ100" s="641" t="s">
        <v>656</v>
      </c>
    </row>
    <row r="101" spans="1:46" s="127" customFormat="1" ht="13.5" thickBot="1" x14ac:dyDescent="0.25">
      <c r="A101" s="525"/>
      <c r="B101" s="525"/>
      <c r="C101" s="525"/>
      <c r="D101" s="525"/>
      <c r="E101" s="525"/>
      <c r="F101" s="525"/>
      <c r="G101" s="525"/>
      <c r="H101" s="525"/>
      <c r="I101" s="525"/>
      <c r="J101" s="525"/>
      <c r="K101" s="525"/>
      <c r="L101" s="525"/>
      <c r="M101" s="525"/>
      <c r="N101" s="525"/>
      <c r="O101" s="525"/>
      <c r="P101" s="525"/>
      <c r="AB101" s="642" t="s">
        <v>508</v>
      </c>
      <c r="AJ101" s="643"/>
      <c r="AK101" s="644"/>
      <c r="AL101" s="644"/>
      <c r="AM101" s="644"/>
      <c r="AN101" s="644"/>
      <c r="AO101" s="644"/>
      <c r="AP101" s="644"/>
      <c r="AQ101" s="644"/>
      <c r="AR101" s="644"/>
      <c r="AS101" s="645"/>
    </row>
    <row r="102" spans="1:46" ht="13.5" thickBot="1" x14ac:dyDescent="0.25">
      <c r="Q102" s="129"/>
      <c r="R102" s="456"/>
      <c r="S102" s="456"/>
      <c r="T102" s="456"/>
      <c r="U102" s="456"/>
      <c r="V102" s="456"/>
      <c r="W102" s="456"/>
      <c r="X102" s="456"/>
      <c r="Y102" s="456"/>
      <c r="Z102" s="456"/>
      <c r="AA102" s="456"/>
      <c r="AB102" s="642"/>
      <c r="AJ102" s="646" t="s">
        <v>652</v>
      </c>
      <c r="AK102" s="647">
        <f>AN14*24*3.6</f>
        <v>0</v>
      </c>
      <c r="AL102" s="5"/>
      <c r="AM102" s="5"/>
      <c r="AN102" s="5"/>
      <c r="AO102" s="5"/>
      <c r="AP102" s="5"/>
      <c r="AQ102" s="5"/>
      <c r="AR102" s="5"/>
      <c r="AS102" s="50"/>
    </row>
    <row r="103" spans="1:46" x14ac:dyDescent="0.2">
      <c r="B103" s="94" t="s">
        <v>74</v>
      </c>
      <c r="C103" s="480" t="s">
        <v>61</v>
      </c>
      <c r="Q103" s="151"/>
      <c r="R103" s="460" t="s">
        <v>756</v>
      </c>
      <c r="S103" s="459"/>
      <c r="T103" s="459"/>
      <c r="U103" s="459"/>
      <c r="V103" s="459"/>
      <c r="W103" s="459"/>
      <c r="X103" s="459"/>
      <c r="Y103" s="459"/>
      <c r="Z103" s="459"/>
      <c r="AA103" s="459"/>
      <c r="AB103" s="642"/>
      <c r="AJ103" s="49"/>
      <c r="AK103" s="648" t="str">
        <f>R22</f>
        <v>a) Durchflussanlage</v>
      </c>
      <c r="AL103" s="649"/>
      <c r="AM103" s="650" t="str">
        <f>R24</f>
        <v>c) Kreislaufanlage</v>
      </c>
      <c r="AN103" s="651"/>
      <c r="AO103" s="164"/>
      <c r="AP103" s="136"/>
      <c r="AQ103" s="5"/>
      <c r="AR103" s="652" t="str">
        <f>R23</f>
        <v>b) Teichanlage</v>
      </c>
      <c r="AS103" s="653"/>
    </row>
    <row r="104" spans="1:46" x14ac:dyDescent="0.2">
      <c r="B104" s="41" t="s">
        <v>76</v>
      </c>
      <c r="D104" s="654" t="s">
        <v>101</v>
      </c>
      <c r="Q104" s="151"/>
      <c r="R104" s="459"/>
      <c r="S104" s="1044" t="s">
        <v>518</v>
      </c>
      <c r="T104" s="1045"/>
      <c r="U104" s="469"/>
      <c r="V104" s="459"/>
      <c r="W104" s="459"/>
      <c r="X104" s="459"/>
      <c r="Y104" s="459"/>
      <c r="Z104" s="459"/>
      <c r="AA104" s="459"/>
      <c r="AB104" s="642"/>
      <c r="AJ104" s="655" t="s">
        <v>66</v>
      </c>
      <c r="AK104" s="656" t="s">
        <v>609</v>
      </c>
      <c r="AL104" s="657" t="s">
        <v>728</v>
      </c>
      <c r="AM104" s="658" t="s">
        <v>609</v>
      </c>
      <c r="AN104" s="659" t="s">
        <v>729</v>
      </c>
      <c r="AO104" s="660"/>
      <c r="AP104" s="661"/>
      <c r="AQ104" s="660"/>
      <c r="AR104" s="658" t="s">
        <v>609</v>
      </c>
      <c r="AS104" s="662" t="s">
        <v>728</v>
      </c>
    </row>
    <row r="105" spans="1:46" ht="12.75" customHeight="1" x14ac:dyDescent="0.2">
      <c r="B105" s="41" t="s">
        <v>77</v>
      </c>
      <c r="C105" s="157" t="s">
        <v>79</v>
      </c>
      <c r="Q105" s="151"/>
      <c r="R105" s="461" t="str">
        <f>INDEX(Texte,96,Fischzuchtanlage!$N$2)</f>
        <v>a) keine Feststoffabtrennung</v>
      </c>
      <c r="S105" s="1052" t="str">
        <f>INDEX(Texte,97,Fischzuchtanlage!$N$2)</f>
        <v>Werden die Feststoffe nicht abgetrennt, erhöht sich die Belastung des Abwassers.</v>
      </c>
      <c r="T105" s="1053"/>
      <c r="U105" s="850"/>
      <c r="V105" s="797"/>
      <c r="W105" s="797"/>
      <c r="X105" s="797"/>
      <c r="Y105" s="797"/>
      <c r="Z105" s="797"/>
      <c r="AA105" s="798"/>
      <c r="AB105" s="486">
        <v>1</v>
      </c>
      <c r="AJ105" s="663" t="s">
        <v>255</v>
      </c>
      <c r="AK105" s="664" t="e">
        <f>AM77/$AK$102*1000</f>
        <v>#DIV/0!</v>
      </c>
      <c r="AL105" s="665" t="e">
        <f>AR77/$AK$102*1000</f>
        <v>#DIV/0!</v>
      </c>
      <c r="AM105" s="666" t="str">
        <f>IF(AN10&gt;0,T224,"")</f>
        <v/>
      </c>
      <c r="AN105" s="667" t="str">
        <f>IF(AN10&gt;0,T224,"")</f>
        <v/>
      </c>
      <c r="AO105" s="660" t="s">
        <v>677</v>
      </c>
      <c r="AP105" s="661"/>
      <c r="AQ105" s="660"/>
      <c r="AR105" s="664" t="e">
        <f>BF77/$AK$102*1000</f>
        <v>#DIV/0!</v>
      </c>
      <c r="AS105" s="668" t="e">
        <f>BI77/$AK$102*1000</f>
        <v>#DIV/0!</v>
      </c>
    </row>
    <row r="106" spans="1:46" x14ac:dyDescent="0.2">
      <c r="B106" s="41" t="s">
        <v>78</v>
      </c>
      <c r="C106" s="157" t="s">
        <v>80</v>
      </c>
      <c r="Q106" s="151"/>
      <c r="R106" s="461" t="str">
        <f>INDEX(Texte,98,Fischzuchtanlage!$N$2)</f>
        <v>b) separates Absetzbecken</v>
      </c>
      <c r="S106" s="1052" t="str">
        <f>INDEX(Texte,99,Fischzuchtanlage!$N$2)</f>
        <v>Die Feststoffe werden in einem Absetzbecken für den laufenden Betrieb zurückgehalten. Dies reduziert den Gehalt an ungelösten Stoffen (GUS) um etwa 30 % und vermindert die Rücklösung von Kohlenstoff-, Stickstoff- und Phosphorverbindungen.</v>
      </c>
      <c r="T106" s="1053"/>
      <c r="U106" s="851"/>
      <c r="V106" s="799"/>
      <c r="W106" s="799"/>
      <c r="X106" s="799"/>
      <c r="Y106" s="799"/>
      <c r="Z106" s="799"/>
      <c r="AA106" s="800"/>
      <c r="AB106" s="486">
        <v>2</v>
      </c>
      <c r="AJ106" s="663" t="s">
        <v>68</v>
      </c>
      <c r="AK106" s="664" t="e">
        <f>AM78/$AK$102*1000</f>
        <v>#DIV/0!</v>
      </c>
      <c r="AL106" s="665" t="e">
        <f>AR78/$AK$102*1000</f>
        <v>#DIV/0!</v>
      </c>
      <c r="AM106" s="664" t="e">
        <f>AX80/$AK$102*1000</f>
        <v>#DIV/0!</v>
      </c>
      <c r="AN106" s="665" t="e">
        <f>BA80/$AK$102*1000</f>
        <v>#DIV/0!</v>
      </c>
      <c r="AO106" s="660" t="s">
        <v>667</v>
      </c>
      <c r="AP106" s="661"/>
      <c r="AQ106" s="669"/>
      <c r="AR106" s="664" t="e">
        <f t="shared" ref="AR106" si="7">BF78/$AK$102*1000</f>
        <v>#DIV/0!</v>
      </c>
      <c r="AS106" s="668" t="e">
        <f t="shared" ref="AS106" si="8">BI78/$AK$102*1000</f>
        <v>#DIV/0!</v>
      </c>
    </row>
    <row r="107" spans="1:46" x14ac:dyDescent="0.2">
      <c r="B107" s="41" t="s">
        <v>81</v>
      </c>
      <c r="C107" s="157" t="s">
        <v>82</v>
      </c>
      <c r="Q107" s="151"/>
      <c r="R107" s="461" t="str">
        <f>INDEX(Texte,100,Fischzuchtanlage!$N$2)</f>
        <v>c) Bandfilter</v>
      </c>
      <c r="S107" s="1050" t="str">
        <f>INDEX(Texte,101,Fischzuchtanlage!$N$2)</f>
        <v>Bandfilter: umlaufendes Siebband (Maschenweite 60 bis 100 Mikrometer). Dies reduziert den Gehalt an ungelösten Stoffen (GUS) um etwa 50 % und vermindert die Rücklösung von Kohlenstoff-, Stickstoff- und Phosphorverbindungen.</v>
      </c>
      <c r="T107" s="1051"/>
      <c r="U107" s="851"/>
      <c r="V107" s="799"/>
      <c r="W107" s="799"/>
      <c r="X107" s="799"/>
      <c r="Y107" s="799"/>
      <c r="Z107" s="799"/>
      <c r="AA107" s="800"/>
      <c r="AB107" s="486">
        <v>3</v>
      </c>
      <c r="AJ107" s="120" t="s">
        <v>451</v>
      </c>
      <c r="AK107" s="664" t="e">
        <f>AK106-AK108-AK109</f>
        <v>#DIV/0!</v>
      </c>
      <c r="AL107" s="665" t="e">
        <f>AL106-AL108-AL109</f>
        <v>#DIV/0!</v>
      </c>
      <c r="AM107" s="664" t="e">
        <f>AM106-AM108-AM109</f>
        <v>#DIV/0!</v>
      </c>
      <c r="AN107" s="665" t="e">
        <f>AN106-AN108-AN109</f>
        <v>#DIV/0!</v>
      </c>
      <c r="AO107" s="660"/>
      <c r="AP107" s="661"/>
      <c r="AR107" s="664" t="e">
        <f>AR106</f>
        <v>#DIV/0!</v>
      </c>
      <c r="AS107" s="668" t="e">
        <f>AS106</f>
        <v>#DIV/0!</v>
      </c>
    </row>
    <row r="108" spans="1:46" x14ac:dyDescent="0.2">
      <c r="B108" s="41" t="s">
        <v>73</v>
      </c>
      <c r="C108" s="157" t="s">
        <v>83</v>
      </c>
      <c r="D108" s="41" t="s">
        <v>84</v>
      </c>
      <c r="Q108" s="151"/>
      <c r="R108" s="461" t="str">
        <f>INDEX(Texte,102,Fischzuchtanlage!$N$2)</f>
        <v>d) Trommel / Scheibenfilter</v>
      </c>
      <c r="S108" s="1050" t="str">
        <f>INDEX(Texte,103,Fischzuchtanlage!$N$2)</f>
        <v>Das Ablaufwasser fliesst durch eine rotierende, mit Filtergaze bespannte Trommel oder Siebscheiben ab (Maschenweite 60 bis 100 Mikrometer). Dies reduziert den Gehalt an ungelösten Stoffen (GUS) um etwa 60 % und vermindert die Rücklösung von Kohlenstoff-, Stickstoff- und Phosphorverbindungen</v>
      </c>
      <c r="T108" s="1051"/>
      <c r="U108" s="850"/>
      <c r="V108" s="797"/>
      <c r="W108" s="797"/>
      <c r="X108" s="797"/>
      <c r="Y108" s="797"/>
      <c r="Z108" s="797"/>
      <c r="AA108" s="798"/>
      <c r="AB108" s="486">
        <v>4</v>
      </c>
      <c r="AJ108" s="663" t="s">
        <v>450</v>
      </c>
      <c r="AK108" s="664"/>
      <c r="AL108" s="665"/>
      <c r="AM108" s="670" t="str">
        <f>IF(AN10&gt;0,T223,"")</f>
        <v/>
      </c>
      <c r="AN108" s="671" t="str">
        <f>IF(AN10&gt;0,T223,"")</f>
        <v/>
      </c>
      <c r="AO108" s="660" t="s">
        <v>677</v>
      </c>
      <c r="AP108" s="661"/>
      <c r="AQ108" s="5"/>
      <c r="AR108" s="672"/>
      <c r="AS108" s="627"/>
    </row>
    <row r="109" spans="1:46" ht="13.5" thickBot="1" x14ac:dyDescent="0.25">
      <c r="Q109" s="143"/>
      <c r="R109" s="478"/>
      <c r="S109" s="478"/>
      <c r="T109" s="478"/>
      <c r="U109" s="478"/>
      <c r="V109" s="478"/>
      <c r="W109" s="478"/>
      <c r="X109" s="478"/>
      <c r="Y109" s="478"/>
      <c r="Z109" s="478"/>
      <c r="AA109" s="478"/>
      <c r="AB109" s="479"/>
      <c r="AJ109" s="663" t="s">
        <v>286</v>
      </c>
      <c r="AK109" s="664" t="e">
        <f>AM79/$AK$102*1000</f>
        <v>#DIV/0!</v>
      </c>
      <c r="AL109" s="665" t="e">
        <f>AR79/$AK$102*1000</f>
        <v>#DIV/0!</v>
      </c>
      <c r="AM109" s="670" t="str">
        <f>IF(AN10&gt;0,T222,"")</f>
        <v/>
      </c>
      <c r="AN109" s="671" t="str">
        <f>IF(AN10&gt;0,T222,"")</f>
        <v/>
      </c>
      <c r="AO109" s="660" t="s">
        <v>677</v>
      </c>
      <c r="AP109" s="661"/>
      <c r="AQ109" s="5"/>
      <c r="AR109" s="49"/>
      <c r="AS109" s="50"/>
    </row>
    <row r="110" spans="1:46" x14ac:dyDescent="0.2">
      <c r="AJ110" s="663" t="s">
        <v>650</v>
      </c>
      <c r="AK110" s="664" t="e">
        <f>AM80/$AK$102*1000</f>
        <v>#DIV/0!</v>
      </c>
      <c r="AL110" s="665" t="e">
        <f>AR80/$AK$102*1000</f>
        <v>#DIV/0!</v>
      </c>
      <c r="AM110" s="664" t="e">
        <f>AX82/$AK$102*1000</f>
        <v>#DIV/0!</v>
      </c>
      <c r="AN110" s="665" t="e">
        <f>BA82/$AK$102*1000</f>
        <v>#DIV/0!</v>
      </c>
      <c r="AO110" s="660" t="s">
        <v>668</v>
      </c>
      <c r="AP110" s="661"/>
      <c r="AQ110" s="5"/>
      <c r="AR110" s="664" t="e">
        <f>BF80/$AK$102*1000</f>
        <v>#DIV/0!</v>
      </c>
      <c r="AS110" s="668" t="e">
        <f>BI80/$AK$102*1000</f>
        <v>#DIV/0!</v>
      </c>
    </row>
    <row r="111" spans="1:46" ht="13.5" thickBot="1" x14ac:dyDescent="0.25">
      <c r="B111" s="94" t="s">
        <v>320</v>
      </c>
      <c r="R111" s="13"/>
      <c r="S111" s="13"/>
      <c r="T111" s="13"/>
      <c r="U111" s="13"/>
      <c r="V111" s="13"/>
      <c r="W111" s="13"/>
      <c r="X111" s="13"/>
      <c r="Y111" s="13"/>
      <c r="Z111" s="13"/>
      <c r="AA111" s="13"/>
      <c r="AB111" s="13"/>
      <c r="AJ111" s="663" t="s">
        <v>90</v>
      </c>
      <c r="AK111" s="664" t="e">
        <f>AM82/$AK$102*1000</f>
        <v>#DIV/0!</v>
      </c>
      <c r="AL111" s="665" t="e">
        <f>AR82/$AK$102*1000</f>
        <v>#DIV/0!</v>
      </c>
      <c r="AM111" s="670" t="str">
        <f>IF(AN10&gt;0,T225,"")</f>
        <v/>
      </c>
      <c r="AN111" s="671" t="str">
        <f>IF(AN10&gt;0,T225,"")</f>
        <v/>
      </c>
      <c r="AO111" s="673" t="s">
        <v>677</v>
      </c>
      <c r="AP111" s="674"/>
      <c r="AQ111" s="5"/>
      <c r="AR111" s="5"/>
      <c r="AS111" s="50"/>
    </row>
    <row r="112" spans="1:46" x14ac:dyDescent="0.2">
      <c r="B112" s="41" t="s">
        <v>607</v>
      </c>
      <c r="R112" s="13"/>
      <c r="S112" s="675"/>
      <c r="T112" s="675"/>
      <c r="U112" s="676"/>
      <c r="V112" s="676"/>
      <c r="W112" s="676"/>
      <c r="X112" s="676"/>
      <c r="Y112" s="676"/>
      <c r="Z112" s="676"/>
      <c r="AA112" s="676"/>
      <c r="AB112" s="95"/>
      <c r="AJ112" s="663" t="s">
        <v>655</v>
      </c>
      <c r="AK112" s="664" t="e">
        <f>AK91/$AK$102*1000</f>
        <v>#DIV/0!</v>
      </c>
      <c r="AL112" s="665" t="e">
        <f>AN91/$AK$102*1000</f>
        <v>#DIV/0!</v>
      </c>
      <c r="AM112" s="1033" t="s">
        <v>682</v>
      </c>
      <c r="AN112" s="1034"/>
      <c r="AO112" s="5"/>
      <c r="AP112" s="5"/>
      <c r="AQ112" s="5"/>
      <c r="AR112" s="5"/>
      <c r="AS112" s="50"/>
    </row>
    <row r="113" spans="1:50" x14ac:dyDescent="0.2">
      <c r="B113" s="453"/>
      <c r="C113" s="677" t="s">
        <v>90</v>
      </c>
      <c r="D113" s="159" t="s">
        <v>87</v>
      </c>
      <c r="E113" s="127" t="s">
        <v>78</v>
      </c>
      <c r="R113" s="13"/>
      <c r="S113" s="521"/>
      <c r="T113" s="521"/>
      <c r="U113" s="8"/>
      <c r="V113" s="8"/>
      <c r="W113" s="8"/>
      <c r="X113" s="8"/>
      <c r="Y113" s="8"/>
      <c r="Z113" s="8"/>
      <c r="AA113" s="8"/>
      <c r="AB113" s="95"/>
      <c r="AJ113" s="663" t="s">
        <v>651</v>
      </c>
      <c r="AK113" s="664" t="e">
        <f>AM81/$AK$102*1000</f>
        <v>#DIV/0!</v>
      </c>
      <c r="AL113" s="665" t="e">
        <f>AR81/$AK$102*1000</f>
        <v>#DIV/0!</v>
      </c>
      <c r="AM113" s="1033"/>
      <c r="AN113" s="1034"/>
      <c r="AO113" s="5"/>
      <c r="AP113" s="5"/>
      <c r="AQ113" s="5"/>
      <c r="AR113" s="5"/>
      <c r="AS113" s="50"/>
    </row>
    <row r="114" spans="1:50" ht="13.5" thickBot="1" x14ac:dyDescent="0.25">
      <c r="B114" s="453" t="s">
        <v>75</v>
      </c>
      <c r="C114" s="678">
        <v>0.3</v>
      </c>
      <c r="D114" s="487">
        <v>0.05</v>
      </c>
      <c r="E114" s="487">
        <v>0.15</v>
      </c>
      <c r="R114" s="13"/>
      <c r="S114" s="521"/>
      <c r="T114" s="521"/>
      <c r="U114" s="8"/>
      <c r="V114" s="8"/>
      <c r="W114" s="8"/>
      <c r="X114" s="8"/>
      <c r="Y114" s="8"/>
      <c r="Z114" s="8"/>
      <c r="AA114" s="8"/>
      <c r="AB114" s="95"/>
      <c r="AJ114" s="663" t="s">
        <v>654</v>
      </c>
      <c r="AK114" s="679" t="e">
        <f>AM91/$AK$102*1000</f>
        <v>#DIV/0!</v>
      </c>
      <c r="AL114" s="680" t="e">
        <f>AP91/$AK$102*1000</f>
        <v>#DIV/0!</v>
      </c>
      <c r="AM114" s="1035"/>
      <c r="AN114" s="1036"/>
      <c r="AO114" s="5"/>
      <c r="AP114" s="5"/>
      <c r="AQ114" s="5"/>
      <c r="AR114" s="5"/>
      <c r="AS114" s="50"/>
    </row>
    <row r="115" spans="1:50" ht="13.5" thickBot="1" x14ac:dyDescent="0.25">
      <c r="B115" s="453" t="s">
        <v>88</v>
      </c>
      <c r="C115" s="678">
        <v>0.5</v>
      </c>
      <c r="D115" s="487">
        <v>0.1</v>
      </c>
      <c r="E115" s="487">
        <v>0.2</v>
      </c>
      <c r="R115" s="13"/>
      <c r="S115" s="675"/>
      <c r="T115" s="675"/>
      <c r="U115" s="676"/>
      <c r="V115" s="676"/>
      <c r="W115" s="676"/>
      <c r="X115" s="676"/>
      <c r="Y115" s="676"/>
      <c r="Z115" s="676"/>
      <c r="AA115" s="676"/>
      <c r="AB115" s="95"/>
      <c r="AJ115" s="56"/>
      <c r="AK115" s="155"/>
      <c r="AL115" s="155"/>
      <c r="AM115" s="155"/>
      <c r="AN115" s="155"/>
      <c r="AO115" s="155"/>
      <c r="AP115" s="155"/>
      <c r="AQ115" s="155"/>
      <c r="AR115" s="155"/>
      <c r="AS115" s="141"/>
    </row>
    <row r="116" spans="1:50" x14ac:dyDescent="0.2">
      <c r="B116" s="453" t="s">
        <v>89</v>
      </c>
      <c r="C116" s="678">
        <v>0.6</v>
      </c>
      <c r="D116" s="487">
        <v>0.1</v>
      </c>
      <c r="E116" s="487">
        <v>0.25</v>
      </c>
      <c r="R116" s="13"/>
      <c r="S116" s="13"/>
      <c r="T116" s="13"/>
      <c r="U116" s="13"/>
      <c r="V116" s="13"/>
      <c r="W116" s="13"/>
      <c r="X116" s="13"/>
      <c r="Y116" s="13"/>
      <c r="Z116" s="13"/>
      <c r="AA116" s="13"/>
      <c r="AB116" s="13"/>
    </row>
    <row r="117" spans="1:50" ht="15.75" x14ac:dyDescent="0.25">
      <c r="AI117" s="641" t="s">
        <v>697</v>
      </c>
    </row>
    <row r="118" spans="1:50" s="127" customFormat="1" x14ac:dyDescent="0.2">
      <c r="A118" s="525"/>
      <c r="B118" s="525"/>
      <c r="C118" s="525"/>
      <c r="D118" s="525"/>
      <c r="E118" s="525"/>
      <c r="F118" s="525"/>
      <c r="G118" s="525"/>
      <c r="H118" s="525"/>
      <c r="I118" s="525"/>
      <c r="J118" s="525"/>
      <c r="K118" s="525"/>
      <c r="L118" s="525"/>
      <c r="M118" s="525"/>
      <c r="N118" s="525"/>
      <c r="O118" s="525"/>
      <c r="P118" s="525"/>
    </row>
    <row r="119" spans="1:50" x14ac:dyDescent="0.2">
      <c r="AI119" s="41" t="s">
        <v>497</v>
      </c>
      <c r="AJ119" s="1037" t="str">
        <f>AO16</f>
        <v>c) Kreislaufanlage</v>
      </c>
      <c r="AK119" s="1037"/>
      <c r="AL119" s="1037"/>
      <c r="AM119" s="39"/>
      <c r="AU119" s="681" t="s">
        <v>686</v>
      </c>
      <c r="AV119" s="681" t="s">
        <v>685</v>
      </c>
      <c r="AW119" s="127"/>
      <c r="AX119" s="127"/>
    </row>
    <row r="120" spans="1:50" x14ac:dyDescent="0.2">
      <c r="B120" s="94" t="s">
        <v>222</v>
      </c>
      <c r="C120" s="94"/>
      <c r="D120" s="94" t="s">
        <v>235</v>
      </c>
      <c r="AI120" s="41" t="s">
        <v>676</v>
      </c>
      <c r="AJ120" s="1038" t="str">
        <f>AO20</f>
        <v>a) keine</v>
      </c>
      <c r="AK120" s="1038"/>
      <c r="AL120" s="1038"/>
      <c r="AM120" s="682"/>
      <c r="AV120" s="204" t="str">
        <f>AK103</f>
        <v>a) Durchflussanlage</v>
      </c>
      <c r="AW120" s="204" t="str">
        <f>AR103</f>
        <v>b) Teichanlage</v>
      </c>
      <c r="AX120" s="204" t="str">
        <f>AM103</f>
        <v>c) Kreislaufanlage</v>
      </c>
    </row>
    <row r="121" spans="1:50" x14ac:dyDescent="0.2">
      <c r="C121" s="41" t="s">
        <v>223</v>
      </c>
      <c r="AI121" s="41" t="s">
        <v>426</v>
      </c>
      <c r="AJ121" s="1038" t="str">
        <f>AO21</f>
        <v>d) keine</v>
      </c>
      <c r="AK121" s="1038"/>
      <c r="AL121" s="1038"/>
      <c r="AU121" s="659" t="str">
        <f>R140</f>
        <v>a) keine</v>
      </c>
      <c r="AV121" s="790">
        <v>1</v>
      </c>
      <c r="AW121" s="215">
        <v>1</v>
      </c>
      <c r="AX121" s="790">
        <v>1</v>
      </c>
    </row>
    <row r="122" spans="1:50" x14ac:dyDescent="0.2">
      <c r="C122" s="157" t="s">
        <v>226</v>
      </c>
      <c r="D122" s="157" t="s">
        <v>224</v>
      </c>
      <c r="E122" s="157" t="s">
        <v>225</v>
      </c>
      <c r="F122" s="157" t="s">
        <v>90</v>
      </c>
      <c r="G122" s="157" t="s">
        <v>230</v>
      </c>
      <c r="H122" s="157" t="s">
        <v>231</v>
      </c>
      <c r="I122" s="157" t="s">
        <v>232</v>
      </c>
      <c r="AJ122" s="447" t="s">
        <v>775</v>
      </c>
      <c r="AL122" s="94" t="s">
        <v>688</v>
      </c>
      <c r="AR122" s="683" t="s">
        <v>692</v>
      </c>
      <c r="AS122" s="684"/>
      <c r="AU122" s="659" t="str">
        <f>R141</f>
        <v>b) Schönungsteich</v>
      </c>
      <c r="AV122" s="790">
        <v>1</v>
      </c>
      <c r="AW122" s="215">
        <v>0</v>
      </c>
      <c r="AX122" s="790">
        <v>1</v>
      </c>
    </row>
    <row r="123" spans="1:50" x14ac:dyDescent="0.2">
      <c r="B123" s="41" t="s">
        <v>227</v>
      </c>
      <c r="C123" s="157">
        <v>0.64</v>
      </c>
      <c r="D123" s="157">
        <v>0.96</v>
      </c>
      <c r="E123" s="157">
        <v>0.9</v>
      </c>
      <c r="F123" s="157">
        <v>0.99</v>
      </c>
      <c r="G123" s="157"/>
      <c r="H123" s="157"/>
      <c r="I123" s="157"/>
      <c r="AI123" s="685" t="str">
        <f>INDEX(Texte,136,Fischzuchtanlage!$N$2)</f>
        <v>Parameter</v>
      </c>
      <c r="AJ123" s="204"/>
      <c r="AK123" s="685" t="s">
        <v>223</v>
      </c>
      <c r="AL123" s="462">
        <f>INDEX(MatrixWG,AW129,AW130)</f>
        <v>1</v>
      </c>
      <c r="AM123" s="686" t="s">
        <v>776</v>
      </c>
      <c r="AN123" s="686" t="s">
        <v>777</v>
      </c>
      <c r="AO123" s="685" t="s">
        <v>683</v>
      </c>
      <c r="AP123" s="685" t="s">
        <v>684</v>
      </c>
      <c r="AR123" s="685" t="s">
        <v>683</v>
      </c>
      <c r="AS123" s="685" t="s">
        <v>730</v>
      </c>
      <c r="AU123" s="659" t="str">
        <f>R142</f>
        <v>c) Kleinkläranlage (Pflanzenkläranlage, Tropfkörper)</v>
      </c>
      <c r="AV123" s="790">
        <v>1</v>
      </c>
      <c r="AW123" s="215">
        <v>0</v>
      </c>
      <c r="AX123" s="790">
        <v>1</v>
      </c>
    </row>
    <row r="124" spans="1:50" x14ac:dyDescent="0.2">
      <c r="B124" s="41" t="s">
        <v>229</v>
      </c>
      <c r="C124" s="157">
        <v>0.01</v>
      </c>
      <c r="D124" s="157">
        <v>0.38</v>
      </c>
      <c r="E124" s="157">
        <v>0.3</v>
      </c>
      <c r="F124" s="157">
        <v>0.45</v>
      </c>
      <c r="G124" s="157">
        <v>0.87</v>
      </c>
      <c r="H124" s="157">
        <v>-0.38</v>
      </c>
      <c r="I124" s="157">
        <v>-0.06</v>
      </c>
      <c r="AI124" s="685" t="str">
        <f>INDEX(Texte,137,Fischzuchtanlage!$N$2)</f>
        <v>Ammonium-N</v>
      </c>
      <c r="AJ124" s="204"/>
      <c r="AK124" s="687">
        <f>VLOOKUP($AJ$120,VorbehText,4)</f>
        <v>0</v>
      </c>
      <c r="AL124" s="687">
        <f t="shared" ref="AL124:AL131" si="9">AK124*$AL$123</f>
        <v>0</v>
      </c>
      <c r="AM124" s="688" t="str">
        <f>IF($AJ$119=$AK$103,AK109,IF($AJ$119=$AM$103,AM109,IF($AJ$119=$AR$103,AR109,"")))</f>
        <v/>
      </c>
      <c r="AN124" s="688" t="str">
        <f>IF($AJ$119=$AK$103,AL109,IF($AJ$119=$AM$103,AN109,IF($AJ$119=$AR$103,AS109,"")))</f>
        <v/>
      </c>
      <c r="AO124" s="689" t="e">
        <f>AM124*(1-AL124)</f>
        <v>#VALUE!</v>
      </c>
      <c r="AP124" s="689" t="e">
        <f>AN124*(1-AL124)</f>
        <v>#VALUE!</v>
      </c>
      <c r="AR124" s="690" t="e">
        <f t="shared" ref="AR124:AS131" si="10">IF(AO124&lt;=0,"",AO124)</f>
        <v>#VALUE!</v>
      </c>
      <c r="AS124" s="690" t="e">
        <f t="shared" si="10"/>
        <v>#VALUE!</v>
      </c>
      <c r="AW124" s="127"/>
    </row>
    <row r="125" spans="1:50" x14ac:dyDescent="0.2">
      <c r="B125" s="41" t="s">
        <v>233</v>
      </c>
      <c r="C125" s="157">
        <v>0.51</v>
      </c>
      <c r="D125" s="157">
        <v>0.56999999999999995</v>
      </c>
      <c r="E125" s="157">
        <v>0.59</v>
      </c>
      <c r="F125" s="157">
        <v>0.9</v>
      </c>
      <c r="G125" s="157">
        <v>-0.71</v>
      </c>
      <c r="H125" s="157">
        <v>-0.36</v>
      </c>
      <c r="I125" s="157">
        <v>0.11</v>
      </c>
      <c r="AI125" s="685" t="str">
        <f>INDEX(Texte,138,Fischzuchtanlage!$N$2)</f>
        <v>Nitrat-N</v>
      </c>
      <c r="AJ125" s="204"/>
      <c r="AK125" s="687">
        <f>VLOOKUP($AJ$120,VorbehText,5)</f>
        <v>0</v>
      </c>
      <c r="AL125" s="687">
        <f t="shared" si="9"/>
        <v>0</v>
      </c>
      <c r="AM125" s="688" t="e">
        <f>IF($AJ$119=$AK$103,AK107,IF($AJ$119=$AM$103,AM107,IF($AJ$119=$AR$103,AR107,"")))</f>
        <v>#DIV/0!</v>
      </c>
      <c r="AN125" s="688" t="e">
        <f>IF($AJ$119=$AK$103,AL107,IF($AJ$119=$AM$103,AN107,IF($AJ$119=$AR$103,AS107,"")))</f>
        <v>#DIV/0!</v>
      </c>
      <c r="AO125" s="689" t="e">
        <f t="shared" ref="AO125:AO131" si="11">AM125*(1-AL125)</f>
        <v>#DIV/0!</v>
      </c>
      <c r="AP125" s="689" t="e">
        <f t="shared" ref="AP125:AP131" si="12">AN125*(1-AL125)</f>
        <v>#DIV/0!</v>
      </c>
      <c r="AR125" s="690" t="e">
        <f t="shared" si="10"/>
        <v>#DIV/0!</v>
      </c>
      <c r="AS125" s="690" t="e">
        <f t="shared" si="10"/>
        <v>#DIV/0!</v>
      </c>
      <c r="AU125" s="692" t="str">
        <f>R147</f>
        <v>e) Phosphorfällung</v>
      </c>
      <c r="AV125" s="215">
        <v>0</v>
      </c>
      <c r="AW125" s="215">
        <v>0</v>
      </c>
      <c r="AX125" s="790">
        <v>1</v>
      </c>
    </row>
    <row r="126" spans="1:50" x14ac:dyDescent="0.2">
      <c r="C126" s="157"/>
      <c r="D126" s="157"/>
      <c r="E126" s="157"/>
      <c r="F126" s="157"/>
      <c r="G126" s="157"/>
      <c r="H126" s="157"/>
      <c r="I126" s="157"/>
      <c r="AI126" s="685" t="str">
        <f>INDEX(Texte,139,Fischzuchtanlage!$N$2)</f>
        <v>Gesamt-N</v>
      </c>
      <c r="AJ126" s="204"/>
      <c r="AK126" s="687">
        <f>VLOOKUP($AJ$120,VorbehText,6)</f>
        <v>0</v>
      </c>
      <c r="AL126" s="687">
        <f t="shared" si="9"/>
        <v>0</v>
      </c>
      <c r="AM126" s="688" t="e">
        <f>IF($AJ$119=$AK$103,AK106+AK114,IF($AJ$119=$AM$103,AM106+AM114,IF($AJ$119=$AR$103,AR106+AR114,"")))</f>
        <v>#DIV/0!</v>
      </c>
      <c r="AN126" s="688" t="e">
        <f>IF($AJ$119=$AK$103,AL106+AL114,IF($AJ$119=$AM$103,AN106+AN114,IF($AJ$119=$AR$103,AS106+AS114,"")))</f>
        <v>#DIV/0!</v>
      </c>
      <c r="AO126" s="689" t="e">
        <f t="shared" si="11"/>
        <v>#DIV/0!</v>
      </c>
      <c r="AP126" s="689" t="e">
        <f t="shared" si="12"/>
        <v>#DIV/0!</v>
      </c>
      <c r="AR126" s="690" t="e">
        <f t="shared" si="10"/>
        <v>#DIV/0!</v>
      </c>
      <c r="AS126" s="690" t="e">
        <f t="shared" si="10"/>
        <v>#DIV/0!</v>
      </c>
    </row>
    <row r="127" spans="1:50" s="127" customFormat="1" x14ac:dyDescent="0.2">
      <c r="B127" s="693" t="s">
        <v>321</v>
      </c>
      <c r="C127" s="159"/>
      <c r="D127" s="159"/>
      <c r="E127" s="159"/>
      <c r="F127" s="159"/>
      <c r="G127" s="159"/>
      <c r="H127" s="159"/>
      <c r="I127" s="159"/>
      <c r="AI127" s="685" t="str">
        <f>INDEX(Texte,140,Fischzuchtanlage!$N$2)</f>
        <v>P gelöst</v>
      </c>
      <c r="AJ127" s="694">
        <f>VLOOKUP($AJ$121,PhosphorFText,7)*INDEX(MatrixP,1,AW130)</f>
        <v>0</v>
      </c>
      <c r="AK127" s="695">
        <f>VLOOKUP($AJ$120,VorbehText,7)</f>
        <v>0</v>
      </c>
      <c r="AL127" s="695">
        <f t="shared" si="9"/>
        <v>0</v>
      </c>
      <c r="AM127" s="689" t="e">
        <f>IF($AJ$119=$AM$103,IF(AM110&lt;$AM$133,AM110,IF(AM134&lt;$AM$133,$AM$133,AM134)),AM134)</f>
        <v>#DIV/0!</v>
      </c>
      <c r="AN127" s="689" t="e">
        <f>IF($AJ$119=$AM$103,IF(AN110&lt;$AM$133,AN110,IF(AN134&lt;$AM$133,$AM$133,AN134)),AN134)</f>
        <v>#DIV/0!</v>
      </c>
      <c r="AO127" s="689" t="e">
        <f t="shared" si="11"/>
        <v>#DIV/0!</v>
      </c>
      <c r="AP127" s="689" t="e">
        <f t="shared" si="12"/>
        <v>#DIV/0!</v>
      </c>
      <c r="AR127" s="690" t="e">
        <f t="shared" si="10"/>
        <v>#DIV/0!</v>
      </c>
      <c r="AS127" s="690" t="e">
        <f t="shared" si="10"/>
        <v>#DIV/0!</v>
      </c>
      <c r="AU127" s="41" t="s">
        <v>687</v>
      </c>
      <c r="AV127" s="41"/>
      <c r="AW127" s="41"/>
      <c r="AX127" s="41"/>
    </row>
    <row r="128" spans="1:50" x14ac:dyDescent="0.2">
      <c r="AI128" s="685" t="str">
        <f>INDEX(Texte,141,Fischzuchtanlage!$N$2)</f>
        <v>Gesamt-P</v>
      </c>
      <c r="AJ128" s="687">
        <f>VLOOKUP($AJ$121,PhosphorFText,7)*INDEX(MatrixP,1,AW130)</f>
        <v>0</v>
      </c>
      <c r="AK128" s="687">
        <f>VLOOKUP($AJ$120,VorbehText,7)</f>
        <v>0</v>
      </c>
      <c r="AL128" s="687">
        <f t="shared" si="9"/>
        <v>0</v>
      </c>
      <c r="AM128" s="689" t="e">
        <f>IF($AJ$119=$AM$103,IF(AM110&lt;$AM$133,AM110,IF(AM135&lt;$AM$133,$AM$133,AM135)),AM135)</f>
        <v>#DIV/0!</v>
      </c>
      <c r="AN128" s="689" t="e">
        <f>IF($AJ$119=$AM$103,IF(AN110&lt;$AM$133,AN110,IF(AN135&lt;$AM$133,$AM$133,AN135)),AN135)</f>
        <v>#DIV/0!</v>
      </c>
      <c r="AO128" s="689" t="e">
        <f t="shared" si="11"/>
        <v>#DIV/0!</v>
      </c>
      <c r="AP128" s="689" t="e">
        <f t="shared" si="12"/>
        <v>#DIV/0!</v>
      </c>
      <c r="AR128" s="690" t="e">
        <f t="shared" si="10"/>
        <v>#DIV/0!</v>
      </c>
      <c r="AS128" s="690" t="e">
        <f t="shared" si="10"/>
        <v>#DIV/0!</v>
      </c>
      <c r="AU128" s="41" t="s">
        <v>778</v>
      </c>
      <c r="AV128" s="127"/>
      <c r="AW128" s="127"/>
      <c r="AX128" s="127"/>
    </row>
    <row r="129" spans="2:49" x14ac:dyDescent="0.2">
      <c r="B129" s="198" t="s">
        <v>242</v>
      </c>
      <c r="E129" s="94" t="s">
        <v>235</v>
      </c>
      <c r="AI129" s="685" t="str">
        <f>INDEX(Texte,142,Fischzuchtanlage!$N$2)</f>
        <v>CSB</v>
      </c>
      <c r="AJ129" s="204"/>
      <c r="AK129" s="687">
        <f>VLOOKUP($AJ$120,VorbehText,8)</f>
        <v>0</v>
      </c>
      <c r="AL129" s="687">
        <f t="shared" si="9"/>
        <v>0</v>
      </c>
      <c r="AM129" s="698" t="e">
        <f>(AM131+0.8*AM130)*3</f>
        <v>#VALUE!</v>
      </c>
      <c r="AN129" s="698" t="e">
        <f t="shared" ref="AN129" si="13">(AN131+0.8*AN130)*3</f>
        <v>#VALUE!</v>
      </c>
      <c r="AO129" s="689" t="e">
        <f t="shared" si="11"/>
        <v>#VALUE!</v>
      </c>
      <c r="AP129" s="689" t="e">
        <f t="shared" si="12"/>
        <v>#VALUE!</v>
      </c>
      <c r="AR129" s="690" t="e">
        <f t="shared" si="10"/>
        <v>#VALUE!</v>
      </c>
      <c r="AS129" s="690" t="e">
        <f t="shared" si="10"/>
        <v>#VALUE!</v>
      </c>
      <c r="AU129" s="127" t="s">
        <v>689</v>
      </c>
      <c r="AV129" s="127" t="s">
        <v>690</v>
      </c>
      <c r="AW129" s="462">
        <f>MATCH(AJ120,AU121:AU123)</f>
        <v>1</v>
      </c>
    </row>
    <row r="130" spans="2:49" x14ac:dyDescent="0.2">
      <c r="B130" s="699" t="s">
        <v>243</v>
      </c>
      <c r="AI130" s="685" t="str">
        <f>INDEX(Texte,143,Fischzuchtanlage!$N$2)</f>
        <v>GUS</v>
      </c>
      <c r="AJ130" s="204"/>
      <c r="AK130" s="687">
        <f>VLOOKUP($AJ$120,VorbehText,9)</f>
        <v>0</v>
      </c>
      <c r="AL130" s="687">
        <f t="shared" si="9"/>
        <v>0</v>
      </c>
      <c r="AM130" s="688" t="str">
        <f>IF($AJ$119=$AK$103,AK111,IF($AJ$119=$AM$103,AM111,IF($AJ$119=$AR$103,AR111,"")))</f>
        <v/>
      </c>
      <c r="AN130" s="688" t="str">
        <f>IF($AJ$119=$AK$103,AL111,IF($AJ$119=$AM$103,AN111,IF($AJ$119=$AR$103,AS111,"")))</f>
        <v/>
      </c>
      <c r="AO130" s="689" t="e">
        <f t="shared" si="11"/>
        <v>#VALUE!</v>
      </c>
      <c r="AP130" s="689" t="e">
        <f t="shared" si="12"/>
        <v>#VALUE!</v>
      </c>
      <c r="AR130" s="690" t="e">
        <f t="shared" si="10"/>
        <v>#VALUE!</v>
      </c>
      <c r="AS130" s="690" t="e">
        <f t="shared" si="10"/>
        <v>#VALUE!</v>
      </c>
      <c r="AU130" s="127"/>
      <c r="AV130" s="127" t="s">
        <v>691</v>
      </c>
      <c r="AW130" s="462">
        <f>MATCH(AJ119,AV120:AX120)</f>
        <v>3</v>
      </c>
    </row>
    <row r="131" spans="2:49" x14ac:dyDescent="0.2">
      <c r="B131" s="41" t="s">
        <v>244</v>
      </c>
      <c r="AI131" s="685" t="str">
        <f>INDEX(Texte,144,Fischzuchtanlage!$N$2)</f>
        <v>DOC</v>
      </c>
      <c r="AJ131" s="204"/>
      <c r="AK131" s="687">
        <f>VLOOKUP($AJ$120,VorbehText,10)</f>
        <v>0</v>
      </c>
      <c r="AL131" s="687">
        <f t="shared" si="9"/>
        <v>0</v>
      </c>
      <c r="AM131" s="688" t="str">
        <f>IF($AJ$119=$AK$103,AK105,IF($AJ$119=$AM$103,AM105,IF($AJ$119=$AR$103,AR105,"")))</f>
        <v/>
      </c>
      <c r="AN131" s="688" t="str">
        <f>IF($AJ$119=$AK$103,AL105,IF($AJ$119=$AM$103,AN105,IF($AJ$119=$AR$103,AS105,"")))</f>
        <v/>
      </c>
      <c r="AO131" s="689" t="e">
        <f t="shared" si="11"/>
        <v>#VALUE!</v>
      </c>
      <c r="AP131" s="689" t="e">
        <f t="shared" si="12"/>
        <v>#VALUE!</v>
      </c>
      <c r="AR131" s="690" t="e">
        <f t="shared" si="10"/>
        <v>#VALUE!</v>
      </c>
      <c r="AS131" s="690" t="e">
        <f t="shared" si="10"/>
        <v>#VALUE!</v>
      </c>
    </row>
    <row r="132" spans="2:49" x14ac:dyDescent="0.2">
      <c r="B132" s="41" t="s">
        <v>245</v>
      </c>
      <c r="AH132" s="127"/>
    </row>
    <row r="133" spans="2:49" ht="13.5" thickBot="1" x14ac:dyDescent="0.25">
      <c r="AI133" s="1031" t="s">
        <v>974</v>
      </c>
      <c r="AJ133" s="1031"/>
      <c r="AK133" s="1031"/>
      <c r="AL133" s="1032"/>
      <c r="AM133" s="793">
        <v>0.2</v>
      </c>
    </row>
    <row r="134" spans="2:49" x14ac:dyDescent="0.2">
      <c r="B134" s="199" t="s">
        <v>246</v>
      </c>
      <c r="C134" s="700"/>
      <c r="D134" s="41" t="s">
        <v>247</v>
      </c>
      <c r="AK134" s="41" t="s">
        <v>1001</v>
      </c>
      <c r="AM134" s="696" t="e">
        <f>IF($AJ$119=$AK$103,AK110,IF($AJ$119=$AM$103,AM110,IF($AJ$119=$AR$103,AR110,"")))*(1-AJ127)</f>
        <v>#DIV/0!</v>
      </c>
      <c r="AN134" s="697" t="e">
        <f>IF($AJ$119=$AK$103,AL110,IF($AJ$119=$AM$103,AN110,IF($AJ$119=$AR$103,AS110,"")))*(1-AJ127)</f>
        <v>#DIV/0!</v>
      </c>
    </row>
    <row r="135" spans="2:49" ht="13.5" thickBot="1" x14ac:dyDescent="0.25">
      <c r="B135" s="49" t="s">
        <v>248</v>
      </c>
      <c r="C135" s="639" t="s">
        <v>228</v>
      </c>
      <c r="AM135" s="697" t="e">
        <f>IF($AJ$119=$AK$103,AK110+AK113,IF($AJ$119=$AM$103,AM110+AM113,IF($AJ$119=$AR$103,AR110+AR113,"")))*(1-AJ128)</f>
        <v>#DIV/0!</v>
      </c>
      <c r="AN135" s="697" t="e">
        <f>IF($AJ$119=$AK$103,AL110+AL113,IF($AJ$119=$AM$103,AN110+AN113,IF($AJ$119=$AR$103,AS110+AS113,"")))*(1-AJ128)</f>
        <v>#DIV/0!</v>
      </c>
    </row>
    <row r="136" spans="2:49" ht="13.5" thickBot="1" x14ac:dyDescent="0.25">
      <c r="B136" s="55" t="s">
        <v>230</v>
      </c>
      <c r="C136" s="636">
        <v>0.85</v>
      </c>
      <c r="Q136" s="127"/>
      <c r="R136" s="127"/>
      <c r="S136" s="127"/>
      <c r="T136" s="127"/>
      <c r="U136" s="127"/>
      <c r="V136" s="127"/>
      <c r="W136" s="127"/>
      <c r="X136" s="127"/>
      <c r="Y136" s="127"/>
      <c r="Z136" s="127"/>
      <c r="AA136" s="127"/>
      <c r="AB136" s="642" t="s">
        <v>508</v>
      </c>
    </row>
    <row r="137" spans="2:49" ht="13.5" thickBot="1" x14ac:dyDescent="0.25">
      <c r="B137" s="49" t="s">
        <v>224</v>
      </c>
      <c r="C137" s="639">
        <v>0.33</v>
      </c>
      <c r="Q137" s="129"/>
      <c r="R137" s="456" t="s">
        <v>645</v>
      </c>
      <c r="S137" s="456" t="s">
        <v>757</v>
      </c>
      <c r="T137" s="456"/>
      <c r="U137" s="456"/>
      <c r="V137" s="456"/>
      <c r="W137" s="456"/>
      <c r="X137" s="456"/>
      <c r="Y137" s="456"/>
      <c r="Z137" s="456"/>
      <c r="AA137" s="456"/>
      <c r="AB137" s="701"/>
    </row>
    <row r="138" spans="2:49" x14ac:dyDescent="0.2">
      <c r="B138" s="638" t="s">
        <v>249</v>
      </c>
      <c r="C138" s="639">
        <v>0.6</v>
      </c>
      <c r="Q138" s="151"/>
      <c r="R138" s="460" t="s">
        <v>671</v>
      </c>
      <c r="S138" s="459"/>
      <c r="T138" s="459"/>
      <c r="U138" s="702" t="s">
        <v>223</v>
      </c>
      <c r="V138" s="703"/>
      <c r="W138" s="703"/>
      <c r="X138" s="703"/>
      <c r="Y138" s="703"/>
      <c r="Z138" s="703"/>
      <c r="AA138" s="704"/>
      <c r="AB138" s="705"/>
      <c r="AI138" s="41" t="s">
        <v>696</v>
      </c>
    </row>
    <row r="139" spans="2:49" ht="13.5" thickBot="1" x14ac:dyDescent="0.25">
      <c r="B139" s="51" t="s">
        <v>90</v>
      </c>
      <c r="C139" s="637">
        <v>0.9</v>
      </c>
      <c r="D139" s="41" t="s">
        <v>939</v>
      </c>
      <c r="Q139" s="151"/>
      <c r="R139" s="459"/>
      <c r="S139" s="1044" t="s">
        <v>518</v>
      </c>
      <c r="T139" s="1054"/>
      <c r="U139" s="658" t="s">
        <v>286</v>
      </c>
      <c r="V139" s="691" t="s">
        <v>451</v>
      </c>
      <c r="W139" s="204" t="s">
        <v>452</v>
      </c>
      <c r="X139" s="204" t="s">
        <v>444</v>
      </c>
      <c r="Y139" s="204" t="s">
        <v>225</v>
      </c>
      <c r="Z139" s="204" t="s">
        <v>90</v>
      </c>
      <c r="AA139" s="662" t="s">
        <v>255</v>
      </c>
      <c r="AB139" s="705"/>
      <c r="AI139" s="41" t="s">
        <v>695</v>
      </c>
    </row>
    <row r="140" spans="2:49" ht="13.5" thickBot="1" x14ac:dyDescent="0.25">
      <c r="Q140" s="151"/>
      <c r="R140" s="461" t="str">
        <f>INDEX(Texte,128,Fischzuchtanlage!$N$2)</f>
        <v>a) keine</v>
      </c>
      <c r="S140" s="1039" t="str">
        <f>INDEX(Texte,129,Fischzuchtanlage!$N$2)</f>
        <v>Durch eine Nachbehandlung des Ablaufwassers kann die Gewässerbelastung reduziert werden (nicht bei Teichanlagen).</v>
      </c>
      <c r="T140" s="1040"/>
      <c r="U140" s="801">
        <v>0</v>
      </c>
      <c r="V140" s="796">
        <v>0</v>
      </c>
      <c r="W140" s="796">
        <v>0</v>
      </c>
      <c r="X140" s="796">
        <v>0</v>
      </c>
      <c r="Y140" s="796">
        <v>0</v>
      </c>
      <c r="Z140" s="796">
        <v>0</v>
      </c>
      <c r="AA140" s="802">
        <v>0</v>
      </c>
      <c r="AB140" s="706">
        <v>1</v>
      </c>
      <c r="AI140" s="41" t="s">
        <v>694</v>
      </c>
    </row>
    <row r="141" spans="2:49" x14ac:dyDescent="0.2">
      <c r="B141" s="707" t="s">
        <v>250</v>
      </c>
      <c r="C141" s="700"/>
      <c r="D141" s="41" t="s">
        <v>970</v>
      </c>
      <c r="Q141" s="151"/>
      <c r="R141" s="461" t="str">
        <f>INDEX(Texte,130,Fischzuchtanlage!$N$2)</f>
        <v>b) Schönungsteich</v>
      </c>
      <c r="S141" s="1041" t="str">
        <f>INDEX(Texte,131,Fischzuchtanlage!$N$2)</f>
        <v>Mit Schönungsteichen können die ungelösten Stoffe (GUS) um etwa 2/3 und die gelösten Stoffe um etwa 1/3 reduziert werden.</v>
      </c>
      <c r="T141" s="1042"/>
      <c r="U141" s="126">
        <v>0.46</v>
      </c>
      <c r="V141" s="793">
        <v>0.3</v>
      </c>
      <c r="W141" s="793">
        <v>0.24</v>
      </c>
      <c r="X141" s="793">
        <v>0.33</v>
      </c>
      <c r="Y141" s="793">
        <v>0.4</v>
      </c>
      <c r="Z141" s="793">
        <v>0.66</v>
      </c>
      <c r="AA141" s="803">
        <v>0.4</v>
      </c>
      <c r="AB141" s="706">
        <v>2</v>
      </c>
      <c r="AL141" s="448" t="s">
        <v>726</v>
      </c>
      <c r="AM141" s="448"/>
      <c r="AN141" s="448"/>
    </row>
    <row r="142" spans="2:49" ht="13.5" thickBot="1" x14ac:dyDescent="0.25">
      <c r="B142" s="49" t="s">
        <v>248</v>
      </c>
      <c r="C142" s="639" t="s">
        <v>228</v>
      </c>
      <c r="Q142" s="151"/>
      <c r="R142" s="461" t="str">
        <f>INDEX(Texte,132,Fischzuchtanlage!$N$2)</f>
        <v>c) Kleinkläranlage (Pflanzenkläranlage, Tropfkörper)</v>
      </c>
      <c r="S142" s="1041" t="str">
        <f>INDEX(Texte,133,Fischzuchtanlage!$N$2)</f>
        <v>Mit einer Kleinkläranlage können Ammonium und GUS um etwa 80% bis 90% reduziert werden, CSB und DOC um etwa 60% und die übrigen gelösten Stoffe um etwa 1/3. (Hydraulische Belastung bei Pfanzenkläranlagen maximal 7 m3/Tag und m2).</v>
      </c>
      <c r="T142" s="1042"/>
      <c r="U142" s="804">
        <v>0.85</v>
      </c>
      <c r="V142" s="805">
        <v>0.3</v>
      </c>
      <c r="W142" s="805">
        <v>0.24</v>
      </c>
      <c r="X142" s="805">
        <v>0.33</v>
      </c>
      <c r="Y142" s="805">
        <v>0.6</v>
      </c>
      <c r="Z142" s="805">
        <v>0.9</v>
      </c>
      <c r="AA142" s="806">
        <v>0.6</v>
      </c>
      <c r="AB142" s="706">
        <v>3</v>
      </c>
      <c r="AI142" s="94" t="s">
        <v>741</v>
      </c>
      <c r="AK142" s="157" t="s">
        <v>609</v>
      </c>
      <c r="AL142" s="157" t="s">
        <v>728</v>
      </c>
    </row>
    <row r="143" spans="2:49" ht="13.5" thickBot="1" x14ac:dyDescent="0.25">
      <c r="B143" s="55" t="s">
        <v>230</v>
      </c>
      <c r="C143" s="708">
        <f>IF(C146*0.77&gt;C136,C136,C146*0.77)</f>
        <v>0.46199999999999997</v>
      </c>
      <c r="D143" s="198"/>
      <c r="Q143" s="143"/>
      <c r="R143" s="478"/>
      <c r="S143" s="478"/>
      <c r="T143" s="478"/>
      <c r="U143" s="478"/>
      <c r="V143" s="478"/>
      <c r="W143" s="478"/>
      <c r="X143" s="478"/>
      <c r="Y143" s="478"/>
      <c r="Z143" s="478"/>
      <c r="AA143" s="478"/>
      <c r="AB143" s="548"/>
      <c r="AI143" s="41" t="s">
        <v>733</v>
      </c>
      <c r="AJ143" s="41" t="s">
        <v>473</v>
      </c>
      <c r="AK143" s="96" t="e">
        <f>AR127*AK102</f>
        <v>#DIV/0!</v>
      </c>
      <c r="AL143" s="96" t="e">
        <f>AS127*AK102</f>
        <v>#DIV/0!</v>
      </c>
    </row>
    <row r="144" spans="2:49" x14ac:dyDescent="0.2">
      <c r="B144" s="49" t="s">
        <v>224</v>
      </c>
      <c r="C144" s="709">
        <f>IF(C146*0.59&gt;C137,C137,C146*0.59)</f>
        <v>0.33</v>
      </c>
      <c r="D144" s="198"/>
      <c r="AI144" s="41" t="s">
        <v>727</v>
      </c>
      <c r="AJ144" s="41" t="s">
        <v>444</v>
      </c>
      <c r="AK144" s="96" t="e">
        <f>AR128*AK102</f>
        <v>#DIV/0!</v>
      </c>
      <c r="AL144" s="96" t="e">
        <f>AS128*AK102</f>
        <v>#DIV/0!</v>
      </c>
    </row>
    <row r="145" spans="2:40" ht="13.5" thickBot="1" x14ac:dyDescent="0.25">
      <c r="B145" s="638" t="s">
        <v>249</v>
      </c>
      <c r="C145" s="709">
        <f>IF(C146*0.65&gt;C138,C138,C146*0.65)</f>
        <v>0.39</v>
      </c>
      <c r="D145" s="198"/>
    </row>
    <row r="146" spans="2:40" ht="13.5" thickBot="1" x14ac:dyDescent="0.25">
      <c r="B146" s="51" t="s">
        <v>90</v>
      </c>
      <c r="C146" s="710">
        <v>0.6</v>
      </c>
      <c r="D146" s="198"/>
      <c r="Q146" s="711"/>
      <c r="R146" s="712" t="str">
        <f>INDEX(Texte,122,Fischzuchtanlage!$N$2)</f>
        <v>d) keine</v>
      </c>
      <c r="S146" s="1061" t="str">
        <f>INDEX(Texte,123,Fischzuchtanlage!$N$2)</f>
        <v>Eine P-Fällung wird nur bei Kreislaufanlagen berücksichtigt.</v>
      </c>
      <c r="T146" s="1062"/>
      <c r="U146" s="807">
        <v>0</v>
      </c>
      <c r="V146" s="807">
        <v>0</v>
      </c>
      <c r="W146" s="807">
        <v>0</v>
      </c>
      <c r="X146" s="807">
        <v>0</v>
      </c>
      <c r="Y146" s="807">
        <v>0</v>
      </c>
      <c r="Z146" s="807">
        <v>0</v>
      </c>
      <c r="AA146" s="807">
        <v>0</v>
      </c>
      <c r="AB146" s="713">
        <v>1</v>
      </c>
      <c r="AI146" s="94" t="s">
        <v>739</v>
      </c>
    </row>
    <row r="147" spans="2:40" ht="13.5" thickBot="1" x14ac:dyDescent="0.25">
      <c r="B147" s="13"/>
      <c r="C147" s="174"/>
      <c r="D147" s="198"/>
      <c r="Q147" s="714"/>
      <c r="R147" s="715" t="str">
        <f>INDEX(Texte,124,Fischzuchtanlage!$N$2)</f>
        <v>e) Phosphorfällung</v>
      </c>
      <c r="S147" s="1059" t="str">
        <f>INDEX(Texte,125,Fischzuchtanlage!$N$2)</f>
        <v>Bei Kreislaufanlagen  kann eine Phosphor-Fällung notwendig sein, insbesondere im Einzugesgebiet der Mittellandseen.</v>
      </c>
      <c r="T147" s="1060"/>
      <c r="U147" s="808">
        <v>0</v>
      </c>
      <c r="V147" s="808">
        <v>0</v>
      </c>
      <c r="W147" s="808">
        <v>0</v>
      </c>
      <c r="X147" s="808">
        <v>0.92</v>
      </c>
      <c r="Y147" s="808">
        <v>0</v>
      </c>
      <c r="Z147" s="808">
        <v>0</v>
      </c>
      <c r="AA147" s="808">
        <v>0</v>
      </c>
      <c r="AB147" s="716">
        <v>2</v>
      </c>
      <c r="AI147" s="94" t="s">
        <v>740</v>
      </c>
      <c r="AK147" s="157" t="s">
        <v>747</v>
      </c>
      <c r="AN147" s="717"/>
    </row>
    <row r="148" spans="2:40" x14ac:dyDescent="0.2">
      <c r="B148" s="94" t="s">
        <v>448</v>
      </c>
      <c r="C148" s="41" t="s">
        <v>938</v>
      </c>
      <c r="AI148" s="41" t="s">
        <v>742</v>
      </c>
      <c r="AJ148" s="41" t="s">
        <v>473</v>
      </c>
      <c r="AK148" s="96" t="e">
        <f>AL143/AN10*AN11/1000</f>
        <v>#DIV/0!</v>
      </c>
    </row>
    <row r="149" spans="2:40" x14ac:dyDescent="0.2">
      <c r="D149" s="41" t="s">
        <v>429</v>
      </c>
      <c r="R149" s="41" t="s">
        <v>1056</v>
      </c>
      <c r="AJ149" s="41" t="s">
        <v>444</v>
      </c>
      <c r="AK149" s="96" t="e">
        <f>AL144/AN10*AN11/1000</f>
        <v>#DIV/0!</v>
      </c>
    </row>
    <row r="150" spans="2:40" x14ac:dyDescent="0.2">
      <c r="B150" s="94" t="s">
        <v>66</v>
      </c>
      <c r="C150" s="94" t="s">
        <v>449</v>
      </c>
      <c r="D150" s="94" t="s">
        <v>453</v>
      </c>
      <c r="E150" s="94" t="s">
        <v>454</v>
      </c>
      <c r="U150" s="5"/>
      <c r="V150" s="5"/>
      <c r="W150" s="5"/>
    </row>
    <row r="151" spans="2:40" x14ac:dyDescent="0.2">
      <c r="B151" s="41" t="s">
        <v>286</v>
      </c>
      <c r="C151" s="157">
        <v>0.16</v>
      </c>
      <c r="D151" s="41">
        <v>0.5</v>
      </c>
      <c r="E151" s="41">
        <v>0.4</v>
      </c>
      <c r="U151" s="5"/>
      <c r="V151" s="602"/>
      <c r="W151" s="5"/>
      <c r="AI151" s="41" t="s">
        <v>748</v>
      </c>
    </row>
    <row r="152" spans="2:40" x14ac:dyDescent="0.2">
      <c r="B152" s="718" t="s">
        <v>451</v>
      </c>
      <c r="C152" s="157">
        <v>0.3</v>
      </c>
      <c r="D152" s="41">
        <v>45</v>
      </c>
      <c r="E152" s="41">
        <v>35</v>
      </c>
      <c r="N152" s="92"/>
      <c r="U152" s="5"/>
      <c r="V152" s="602"/>
      <c r="W152" s="5"/>
      <c r="AI152" s="41" t="s">
        <v>749</v>
      </c>
      <c r="AL152" s="92"/>
    </row>
    <row r="153" spans="2:40" x14ac:dyDescent="0.2">
      <c r="B153" s="41" t="s">
        <v>452</v>
      </c>
      <c r="C153" s="157">
        <v>0.24</v>
      </c>
      <c r="D153" s="41">
        <v>59</v>
      </c>
      <c r="E153" s="41">
        <v>45</v>
      </c>
      <c r="U153" s="5"/>
      <c r="V153" s="602"/>
      <c r="W153" s="5"/>
      <c r="AI153" s="41" t="s">
        <v>750</v>
      </c>
    </row>
    <row r="154" spans="2:40" x14ac:dyDescent="0.2">
      <c r="B154" s="41" t="s">
        <v>444</v>
      </c>
      <c r="C154" s="157">
        <v>0.25</v>
      </c>
      <c r="D154" s="41">
        <v>1.7</v>
      </c>
      <c r="E154" s="41">
        <v>1.2</v>
      </c>
      <c r="R154" s="5"/>
      <c r="U154" s="5"/>
      <c r="V154" s="602"/>
      <c r="W154" s="5"/>
    </row>
    <row r="155" spans="2:40" x14ac:dyDescent="0.2">
      <c r="B155" s="41" t="s">
        <v>225</v>
      </c>
      <c r="C155" s="157">
        <v>0.26</v>
      </c>
      <c r="D155" s="41">
        <v>45</v>
      </c>
      <c r="E155" s="41">
        <v>32</v>
      </c>
      <c r="R155" s="5"/>
      <c r="U155" s="5"/>
      <c r="V155" s="5"/>
      <c r="W155" s="5"/>
    </row>
    <row r="156" spans="2:40" x14ac:dyDescent="0.2">
      <c r="B156" s="41" t="s">
        <v>90</v>
      </c>
      <c r="C156" s="157">
        <v>0.66</v>
      </c>
      <c r="D156" s="41">
        <v>4</v>
      </c>
      <c r="E156" s="41">
        <v>1.4</v>
      </c>
    </row>
    <row r="157" spans="2:40" x14ac:dyDescent="0.2">
      <c r="B157" s="41" t="s">
        <v>255</v>
      </c>
      <c r="C157" s="157">
        <v>0.22</v>
      </c>
      <c r="D157" s="41">
        <v>18</v>
      </c>
      <c r="E157" s="41">
        <v>14</v>
      </c>
    </row>
    <row r="158" spans="2:40" x14ac:dyDescent="0.2">
      <c r="C158" s="157"/>
      <c r="D158" s="157"/>
      <c r="E158" s="157"/>
    </row>
    <row r="159" spans="2:40" x14ac:dyDescent="0.2">
      <c r="C159" s="157"/>
      <c r="D159" s="157"/>
      <c r="E159" s="157"/>
    </row>
    <row r="161" spans="1:16" s="127" customFormat="1" x14ac:dyDescent="0.2">
      <c r="A161" s="453"/>
      <c r="B161" s="454" t="s">
        <v>322</v>
      </c>
      <c r="C161" s="453"/>
      <c r="D161" s="453"/>
      <c r="E161" s="453"/>
      <c r="F161" s="453"/>
      <c r="G161" s="453"/>
      <c r="H161" s="453"/>
      <c r="I161" s="453"/>
      <c r="J161" s="453"/>
      <c r="K161" s="453"/>
      <c r="L161" s="453"/>
      <c r="M161" s="453"/>
      <c r="N161" s="453"/>
      <c r="O161" s="453"/>
      <c r="P161" s="453"/>
    </row>
    <row r="163" spans="1:16" x14ac:dyDescent="0.2">
      <c r="B163" s="94" t="s">
        <v>98</v>
      </c>
      <c r="D163" s="94" t="s">
        <v>99</v>
      </c>
    </row>
    <row r="164" spans="1:16" x14ac:dyDescent="0.2">
      <c r="C164" s="41" t="s">
        <v>96</v>
      </c>
    </row>
    <row r="165" spans="1:16" x14ac:dyDescent="0.2">
      <c r="B165" s="41" t="s">
        <v>91</v>
      </c>
      <c r="C165" s="157">
        <v>150</v>
      </c>
      <c r="D165" s="41" t="s">
        <v>94</v>
      </c>
    </row>
    <row r="166" spans="1:16" x14ac:dyDescent="0.2">
      <c r="B166" s="41" t="s">
        <v>92</v>
      </c>
      <c r="C166" s="157">
        <v>500</v>
      </c>
      <c r="D166" s="41" t="s">
        <v>97</v>
      </c>
    </row>
    <row r="167" spans="1:16" x14ac:dyDescent="0.2">
      <c r="B167" s="41" t="s">
        <v>93</v>
      </c>
      <c r="C167" s="157" t="s">
        <v>95</v>
      </c>
      <c r="D167" s="41" t="s">
        <v>97</v>
      </c>
    </row>
    <row r="169" spans="1:16" s="681" customFormat="1" x14ac:dyDescent="0.2">
      <c r="B169" s="681" t="s">
        <v>323</v>
      </c>
    </row>
    <row r="171" spans="1:16" x14ac:dyDescent="0.2">
      <c r="B171" s="94" t="s">
        <v>102</v>
      </c>
      <c r="C171" s="94" t="s">
        <v>105</v>
      </c>
      <c r="D171" s="94" t="s">
        <v>109</v>
      </c>
    </row>
    <row r="173" spans="1:16" x14ac:dyDescent="0.2">
      <c r="B173" s="94" t="s">
        <v>103</v>
      </c>
      <c r="C173" s="94" t="s">
        <v>106</v>
      </c>
      <c r="D173" s="94" t="s">
        <v>107</v>
      </c>
      <c r="E173" s="94" t="s">
        <v>108</v>
      </c>
    </row>
    <row r="174" spans="1:16" x14ac:dyDescent="0.2">
      <c r="B174" s="41" t="s">
        <v>104</v>
      </c>
      <c r="C174" s="157">
        <v>50</v>
      </c>
      <c r="D174" s="157">
        <v>15</v>
      </c>
      <c r="E174" s="157">
        <v>4.5</v>
      </c>
    </row>
    <row r="175" spans="1:16" x14ac:dyDescent="0.2">
      <c r="C175" s="157"/>
      <c r="D175" s="157"/>
      <c r="E175" s="157"/>
    </row>
    <row r="176" spans="1:16" s="127" customFormat="1" x14ac:dyDescent="0.2">
      <c r="A176" s="453"/>
      <c r="B176" s="454" t="s">
        <v>323</v>
      </c>
      <c r="C176" s="453"/>
      <c r="D176" s="453"/>
      <c r="E176" s="453"/>
      <c r="F176" s="453"/>
      <c r="G176" s="453"/>
      <c r="H176" s="453"/>
      <c r="I176" s="453"/>
      <c r="J176" s="453"/>
      <c r="K176" s="453"/>
      <c r="L176" s="453"/>
      <c r="M176" s="453"/>
      <c r="N176" s="453"/>
      <c r="O176" s="453"/>
      <c r="P176" s="453"/>
    </row>
    <row r="178" spans="2:6" ht="15.75" thickBot="1" x14ac:dyDescent="0.3">
      <c r="B178" s="719" t="s">
        <v>456</v>
      </c>
    </row>
    <row r="179" spans="2:6" x14ac:dyDescent="0.2">
      <c r="B179" s="199" t="s">
        <v>251</v>
      </c>
      <c r="C179" s="164"/>
      <c r="D179" s="164"/>
      <c r="E179" s="136"/>
    </row>
    <row r="180" spans="2:6" ht="13.5" thickBot="1" x14ac:dyDescent="0.25">
      <c r="B180" s="49" t="s">
        <v>252</v>
      </c>
      <c r="C180" s="5"/>
      <c r="D180" s="5"/>
      <c r="E180" s="50"/>
    </row>
    <row r="181" spans="2:6" x14ac:dyDescent="0.2">
      <c r="B181" s="55" t="s">
        <v>253</v>
      </c>
      <c r="C181" s="700"/>
      <c r="D181" s="5"/>
      <c r="E181" s="50"/>
    </row>
    <row r="182" spans="2:6" x14ac:dyDescent="0.2">
      <c r="B182" s="120" t="s">
        <v>230</v>
      </c>
      <c r="C182" s="150">
        <v>1</v>
      </c>
      <c r="D182" s="5"/>
      <c r="E182" s="50"/>
    </row>
    <row r="183" spans="2:6" x14ac:dyDescent="0.2">
      <c r="B183" s="120" t="s">
        <v>231</v>
      </c>
      <c r="C183" s="150">
        <v>0.2</v>
      </c>
      <c r="D183" s="5"/>
      <c r="E183" s="50"/>
    </row>
    <row r="184" spans="2:6" x14ac:dyDescent="0.2">
      <c r="B184" s="120" t="s">
        <v>232</v>
      </c>
      <c r="C184" s="150">
        <v>50</v>
      </c>
      <c r="D184" s="5"/>
      <c r="E184" s="50"/>
    </row>
    <row r="185" spans="2:6" x14ac:dyDescent="0.2">
      <c r="B185" s="120" t="s">
        <v>254</v>
      </c>
      <c r="C185" s="150">
        <v>4</v>
      </c>
      <c r="D185" s="5"/>
      <c r="E185" s="50"/>
    </row>
    <row r="186" spans="2:6" x14ac:dyDescent="0.2">
      <c r="B186" s="120" t="s">
        <v>255</v>
      </c>
      <c r="C186" s="150">
        <v>18</v>
      </c>
      <c r="D186" s="720" t="s">
        <v>256</v>
      </c>
      <c r="E186" s="50"/>
      <c r="F186" s="41" t="s">
        <v>257</v>
      </c>
    </row>
    <row r="187" spans="2:6" x14ac:dyDescent="0.2">
      <c r="B187" s="721" t="s">
        <v>90</v>
      </c>
      <c r="C187" s="150">
        <v>4</v>
      </c>
      <c r="D187" s="722"/>
      <c r="E187" s="50"/>
      <c r="F187" s="41" t="s">
        <v>659</v>
      </c>
    </row>
    <row r="188" spans="2:6" ht="13.5" thickBot="1" x14ac:dyDescent="0.25">
      <c r="B188" s="56" t="s">
        <v>258</v>
      </c>
      <c r="C188" s="160">
        <v>10</v>
      </c>
      <c r="D188" s="155" t="s">
        <v>259</v>
      </c>
      <c r="E188" s="141"/>
    </row>
    <row r="190" spans="2:6" x14ac:dyDescent="0.2">
      <c r="B190" s="41" t="s">
        <v>260</v>
      </c>
    </row>
    <row r="191" spans="2:6" x14ac:dyDescent="0.2">
      <c r="B191" s="41" t="s">
        <v>261</v>
      </c>
    </row>
    <row r="192" spans="2:6" x14ac:dyDescent="0.2">
      <c r="C192" s="157"/>
      <c r="D192" s="157"/>
      <c r="E192" s="157"/>
    </row>
    <row r="193" spans="1:16" x14ac:dyDescent="0.2">
      <c r="C193" s="157"/>
      <c r="D193" s="157"/>
      <c r="E193" s="157"/>
    </row>
    <row r="194" spans="1:16" x14ac:dyDescent="0.2">
      <c r="B194" s="94" t="s">
        <v>446</v>
      </c>
      <c r="C194" s="94" t="s">
        <v>455</v>
      </c>
    </row>
    <row r="195" spans="1:16" x14ac:dyDescent="0.2">
      <c r="D195" s="41" t="s">
        <v>429</v>
      </c>
    </row>
    <row r="196" spans="1:16" x14ac:dyDescent="0.2">
      <c r="B196" s="94" t="s">
        <v>66</v>
      </c>
      <c r="C196" s="94" t="s">
        <v>447</v>
      </c>
      <c r="D196" s="94" t="s">
        <v>453</v>
      </c>
      <c r="E196" s="94" t="s">
        <v>454</v>
      </c>
    </row>
    <row r="197" spans="1:16" x14ac:dyDescent="0.2">
      <c r="B197" s="41" t="s">
        <v>286</v>
      </c>
      <c r="C197" s="41">
        <v>0.45</v>
      </c>
      <c r="D197" s="41">
        <v>0.5</v>
      </c>
      <c r="E197" s="41">
        <v>0.3</v>
      </c>
    </row>
    <row r="198" spans="1:16" x14ac:dyDescent="0.2">
      <c r="B198" s="718" t="s">
        <v>450</v>
      </c>
      <c r="C198" s="41">
        <v>0.06</v>
      </c>
      <c r="D198" s="41">
        <v>0.25</v>
      </c>
      <c r="E198" s="41">
        <v>0.25</v>
      </c>
    </row>
    <row r="199" spans="1:16" x14ac:dyDescent="0.2">
      <c r="B199" s="718" t="s">
        <v>451</v>
      </c>
      <c r="D199" s="41">
        <v>40</v>
      </c>
      <c r="E199" s="41">
        <v>40</v>
      </c>
    </row>
    <row r="200" spans="1:16" x14ac:dyDescent="0.2">
      <c r="B200" s="718"/>
    </row>
    <row r="201" spans="1:16" x14ac:dyDescent="0.2">
      <c r="B201" s="94" t="s">
        <v>553</v>
      </c>
      <c r="C201" s="41" t="s">
        <v>555</v>
      </c>
    </row>
    <row r="202" spans="1:16" x14ac:dyDescent="0.2">
      <c r="B202" s="718" t="s">
        <v>471</v>
      </c>
      <c r="C202" s="41">
        <v>0.98</v>
      </c>
    </row>
    <row r="203" spans="1:16" x14ac:dyDescent="0.2">
      <c r="B203" s="718" t="s">
        <v>472</v>
      </c>
      <c r="C203" s="41">
        <v>0.45</v>
      </c>
    </row>
    <row r="204" spans="1:16" x14ac:dyDescent="0.2">
      <c r="B204" s="718" t="s">
        <v>554</v>
      </c>
      <c r="C204" s="41">
        <v>0.25</v>
      </c>
    </row>
    <row r="205" spans="1:16" x14ac:dyDescent="0.2">
      <c r="B205" s="718"/>
    </row>
    <row r="206" spans="1:16" x14ac:dyDescent="0.2">
      <c r="A206" s="525"/>
      <c r="B206" s="723"/>
      <c r="C206" s="525"/>
      <c r="D206" s="525"/>
      <c r="E206" s="525"/>
      <c r="F206" s="525"/>
      <c r="G206" s="525"/>
      <c r="H206" s="525"/>
      <c r="I206" s="525"/>
      <c r="J206" s="525"/>
      <c r="K206" s="525"/>
      <c r="L206" s="525"/>
      <c r="M206" s="525"/>
      <c r="N206" s="525"/>
      <c r="O206" s="525"/>
      <c r="P206" s="525"/>
    </row>
    <row r="207" spans="1:16" x14ac:dyDescent="0.2">
      <c r="B207" s="94" t="s">
        <v>556</v>
      </c>
      <c r="D207" s="41" t="s">
        <v>557</v>
      </c>
    </row>
    <row r="208" spans="1:16" x14ac:dyDescent="0.2">
      <c r="B208" s="718" t="s">
        <v>558</v>
      </c>
    </row>
    <row r="209" spans="2:32" x14ac:dyDescent="0.2">
      <c r="B209" s="718" t="s">
        <v>559</v>
      </c>
      <c r="Q209" s="5"/>
      <c r="R209" s="5"/>
      <c r="S209" s="5"/>
      <c r="T209" s="5"/>
      <c r="U209" s="5"/>
    </row>
    <row r="210" spans="2:32" x14ac:dyDescent="0.2">
      <c r="B210" s="718" t="s">
        <v>560</v>
      </c>
      <c r="U210" s="5"/>
      <c r="W210" s="13"/>
      <c r="X210" s="13"/>
      <c r="Y210" s="13"/>
      <c r="Z210" s="13"/>
      <c r="AA210" s="13"/>
      <c r="AB210" s="13"/>
      <c r="AC210" s="13"/>
      <c r="AD210" s="13"/>
      <c r="AE210" s="13"/>
      <c r="AF210" s="13"/>
    </row>
    <row r="211" spans="2:32" x14ac:dyDescent="0.2">
      <c r="B211" s="718"/>
      <c r="U211" s="5"/>
      <c r="W211" s="13"/>
      <c r="X211" s="13"/>
      <c r="Y211" s="13"/>
      <c r="Z211" s="13"/>
      <c r="AA211" s="13"/>
      <c r="AB211" s="13"/>
      <c r="AC211" s="13"/>
      <c r="AD211" s="13"/>
      <c r="AE211" s="13"/>
      <c r="AF211" s="13"/>
    </row>
    <row r="212" spans="2:32" x14ac:dyDescent="0.2">
      <c r="B212" s="718" t="s">
        <v>658</v>
      </c>
      <c r="U212" s="5"/>
      <c r="W212" s="13"/>
      <c r="X212" s="8"/>
      <c r="Y212" s="8"/>
      <c r="Z212" s="14"/>
      <c r="AA212" s="724"/>
      <c r="AB212" s="13"/>
      <c r="AC212" s="14"/>
      <c r="AD212" s="724"/>
      <c r="AE212" s="13"/>
      <c r="AF212" s="13"/>
    </row>
    <row r="213" spans="2:32" x14ac:dyDescent="0.2">
      <c r="B213" s="718" t="s">
        <v>565</v>
      </c>
      <c r="U213" s="5"/>
      <c r="W213" s="13"/>
      <c r="X213" s="8"/>
      <c r="Y213" s="8"/>
      <c r="Z213" s="555"/>
      <c r="AA213" s="555"/>
      <c r="AB213" s="14"/>
      <c r="AC213" s="555"/>
      <c r="AD213" s="555"/>
      <c r="AE213" s="13"/>
      <c r="AF213" s="13"/>
    </row>
    <row r="214" spans="2:32" x14ac:dyDescent="0.2">
      <c r="U214" s="5"/>
      <c r="W214" s="13"/>
      <c r="X214" s="13"/>
      <c r="Y214" s="13"/>
      <c r="Z214" s="13"/>
      <c r="AA214" s="13"/>
      <c r="AB214" s="13"/>
      <c r="AC214" s="13"/>
      <c r="AD214" s="13"/>
      <c r="AE214" s="13"/>
      <c r="AF214" s="13"/>
    </row>
    <row r="215" spans="2:32" x14ac:dyDescent="0.2">
      <c r="B215" s="41" t="s">
        <v>566</v>
      </c>
      <c r="U215" s="5"/>
      <c r="W215" s="13"/>
      <c r="X215" s="8"/>
      <c r="Y215" s="8"/>
      <c r="Z215" s="555"/>
      <c r="AA215" s="555"/>
      <c r="AB215" s="14"/>
      <c r="AC215" s="555"/>
      <c r="AD215" s="575"/>
      <c r="AE215" s="13"/>
      <c r="AF215" s="13"/>
    </row>
    <row r="216" spans="2:32" x14ac:dyDescent="0.2">
      <c r="B216" s="41" t="s">
        <v>567</v>
      </c>
      <c r="U216" s="5"/>
      <c r="W216" s="13"/>
      <c r="X216" s="8"/>
      <c r="Y216" s="8"/>
      <c r="Z216" s="555"/>
      <c r="AA216" s="555"/>
      <c r="AB216" s="14"/>
      <c r="AC216" s="555"/>
      <c r="AD216" s="555"/>
      <c r="AE216" s="13"/>
      <c r="AF216" s="13"/>
    </row>
    <row r="217" spans="2:32" x14ac:dyDescent="0.2">
      <c r="U217" s="5"/>
      <c r="W217" s="13"/>
      <c r="X217" s="8"/>
      <c r="Y217" s="8"/>
      <c r="Z217" s="13"/>
      <c r="AA217" s="555"/>
      <c r="AB217" s="14"/>
      <c r="AC217" s="13"/>
      <c r="AD217" s="555"/>
      <c r="AE217" s="13"/>
      <c r="AF217" s="13"/>
    </row>
    <row r="218" spans="2:32" ht="13.5" thickBot="1" x14ac:dyDescent="0.25">
      <c r="B218" s="41" t="s">
        <v>569</v>
      </c>
      <c r="W218" s="13"/>
      <c r="X218" s="8"/>
      <c r="Y218" s="8"/>
      <c r="Z218" s="13"/>
      <c r="AA218" s="13"/>
      <c r="AB218" s="13"/>
      <c r="AC218" s="13"/>
      <c r="AD218" s="13"/>
      <c r="AE218" s="13"/>
      <c r="AF218" s="13"/>
    </row>
    <row r="219" spans="2:32" x14ac:dyDescent="0.2">
      <c r="B219" s="41" t="s">
        <v>570</v>
      </c>
      <c r="Q219" s="129"/>
      <c r="R219" s="456"/>
      <c r="S219" s="456"/>
      <c r="T219" s="130"/>
      <c r="AD219" s="13"/>
      <c r="AE219" s="13"/>
      <c r="AF219" s="13"/>
    </row>
    <row r="220" spans="2:32" x14ac:dyDescent="0.2">
      <c r="B220" s="41" t="s">
        <v>571</v>
      </c>
      <c r="Q220" s="151"/>
      <c r="R220" s="460" t="s">
        <v>646</v>
      </c>
      <c r="S220" s="459"/>
      <c r="T220" s="132"/>
    </row>
    <row r="221" spans="2:32" x14ac:dyDescent="0.2">
      <c r="Q221" s="151"/>
      <c r="R221" s="725"/>
      <c r="S221" s="725"/>
      <c r="T221" s="726" t="s">
        <v>572</v>
      </c>
    </row>
    <row r="222" spans="2:32" x14ac:dyDescent="0.2">
      <c r="B222" s="718" t="s">
        <v>561</v>
      </c>
      <c r="Q222" s="151"/>
      <c r="R222" s="727" t="s">
        <v>286</v>
      </c>
      <c r="S222" s="728" t="s">
        <v>269</v>
      </c>
      <c r="T222" s="809">
        <v>1</v>
      </c>
    </row>
    <row r="223" spans="2:32" x14ac:dyDescent="0.2">
      <c r="B223" s="729" t="s">
        <v>562</v>
      </c>
      <c r="C223" s="730" t="s">
        <v>568</v>
      </c>
      <c r="Q223" s="151"/>
      <c r="R223" s="727" t="s">
        <v>450</v>
      </c>
      <c r="S223" s="728" t="s">
        <v>269</v>
      </c>
      <c r="T223" s="809">
        <v>1</v>
      </c>
    </row>
    <row r="224" spans="2:32" x14ac:dyDescent="0.2">
      <c r="B224" s="729" t="s">
        <v>450</v>
      </c>
      <c r="C224" s="127" t="s">
        <v>563</v>
      </c>
      <c r="Q224" s="151"/>
      <c r="R224" s="727" t="s">
        <v>255</v>
      </c>
      <c r="S224" s="728" t="s">
        <v>269</v>
      </c>
      <c r="T224" s="810">
        <v>18</v>
      </c>
    </row>
    <row r="225" spans="1:23" x14ac:dyDescent="0.2">
      <c r="B225" s="718" t="s">
        <v>451</v>
      </c>
      <c r="C225" s="41" t="s">
        <v>564</v>
      </c>
      <c r="Q225" s="151"/>
      <c r="R225" s="727" t="s">
        <v>90</v>
      </c>
      <c r="S225" s="728" t="s">
        <v>269</v>
      </c>
      <c r="T225" s="810">
        <v>4</v>
      </c>
    </row>
    <row r="226" spans="1:23" ht="13.5" thickBot="1" x14ac:dyDescent="0.25">
      <c r="Q226" s="143"/>
      <c r="R226" s="478" t="s">
        <v>660</v>
      </c>
      <c r="S226" s="478"/>
      <c r="T226" s="144"/>
      <c r="V226" s="731"/>
      <c r="W226" s="731"/>
    </row>
    <row r="230" spans="1:23" x14ac:dyDescent="0.2">
      <c r="C230" s="157"/>
      <c r="D230" s="157"/>
      <c r="E230" s="157"/>
    </row>
    <row r="231" spans="1:23" x14ac:dyDescent="0.2">
      <c r="C231" s="157"/>
      <c r="D231" s="157"/>
      <c r="E231" s="157"/>
    </row>
    <row r="232" spans="1:23" x14ac:dyDescent="0.2">
      <c r="C232" s="157"/>
      <c r="D232" s="157"/>
      <c r="E232" s="157"/>
    </row>
    <row r="233" spans="1:23" x14ac:dyDescent="0.2">
      <c r="C233" s="157"/>
      <c r="D233" s="157"/>
      <c r="E233" s="157"/>
    </row>
    <row r="234" spans="1:23" x14ac:dyDescent="0.2">
      <c r="C234" s="157"/>
      <c r="D234" s="157"/>
      <c r="E234" s="157"/>
    </row>
    <row r="235" spans="1:23" x14ac:dyDescent="0.2">
      <c r="A235" s="525"/>
      <c r="B235" s="525"/>
      <c r="C235" s="525"/>
      <c r="D235" s="525"/>
      <c r="E235" s="525"/>
      <c r="F235" s="525"/>
      <c r="G235" s="525"/>
      <c r="H235" s="525"/>
      <c r="I235" s="525"/>
      <c r="J235" s="525"/>
      <c r="K235" s="525"/>
      <c r="L235" s="525"/>
      <c r="M235" s="525"/>
      <c r="N235" s="525"/>
      <c r="O235" s="525"/>
      <c r="P235" s="525"/>
    </row>
    <row r="236" spans="1:23" x14ac:dyDescent="0.2">
      <c r="C236" s="157"/>
      <c r="D236" s="157"/>
      <c r="E236" s="157"/>
    </row>
    <row r="237" spans="1:23" ht="13.5" thickBot="1" x14ac:dyDescent="0.25">
      <c r="B237" s="94" t="s">
        <v>426</v>
      </c>
      <c r="C237" s="157"/>
      <c r="E237" s="157"/>
    </row>
    <row r="238" spans="1:23" x14ac:dyDescent="0.2">
      <c r="C238" s="157"/>
      <c r="D238" s="157"/>
      <c r="E238" s="157"/>
      <c r="Q238" s="129"/>
      <c r="R238" s="456"/>
      <c r="S238" s="456"/>
      <c r="T238" s="456"/>
      <c r="U238" s="130"/>
    </row>
    <row r="239" spans="1:23" x14ac:dyDescent="0.2">
      <c r="B239" s="732" t="s">
        <v>428</v>
      </c>
      <c r="C239" s="157"/>
      <c r="D239" s="157"/>
      <c r="E239" s="157"/>
      <c r="Q239" s="151"/>
      <c r="R239" s="459" t="s">
        <v>1022</v>
      </c>
      <c r="S239" s="459"/>
      <c r="T239" s="459" t="s">
        <v>1024</v>
      </c>
      <c r="U239" s="132"/>
    </row>
    <row r="240" spans="1:23" x14ac:dyDescent="0.2">
      <c r="B240" s="41" t="s">
        <v>427</v>
      </c>
      <c r="C240" s="157"/>
      <c r="D240" s="157"/>
      <c r="E240" s="157"/>
      <c r="Q240" s="151"/>
      <c r="R240" s="1055" t="str">
        <f>INDEX(Texte,19,Fischzuchtanlage!$N$2)</f>
        <v>nicht im Einzugsgebiet der Mittellandseen des Kantons LU</v>
      </c>
      <c r="S240" s="1056"/>
      <c r="T240" s="469"/>
      <c r="U240" s="132"/>
    </row>
    <row r="241" spans="2:21" x14ac:dyDescent="0.2">
      <c r="C241" s="157"/>
      <c r="D241" s="157"/>
      <c r="E241" s="157"/>
      <c r="Q241" s="151"/>
      <c r="R241" s="1057" t="str">
        <f>INDEX(Texte,20,Fischzuchtanlage!$N$2)</f>
        <v>im Einzugsgebiet des Baldegger- oder Hallwilersees</v>
      </c>
      <c r="S241" s="1058"/>
      <c r="T241" s="825">
        <v>5</v>
      </c>
      <c r="U241" s="132"/>
    </row>
    <row r="242" spans="2:21" x14ac:dyDescent="0.2">
      <c r="Q242" s="151"/>
      <c r="R242" s="1057" t="str">
        <f>INDEX(Texte,21,Fischzuchtanlage!$N$2)</f>
        <v>im Einzugsgebiet des Sempachersees</v>
      </c>
      <c r="S242" s="1058"/>
      <c r="T242" s="825">
        <v>15</v>
      </c>
      <c r="U242" s="132"/>
    </row>
    <row r="243" spans="2:21" ht="13.5" thickBot="1" x14ac:dyDescent="0.25">
      <c r="Q243" s="143"/>
      <c r="R243" s="478"/>
      <c r="S243" s="478"/>
      <c r="T243" s="478"/>
      <c r="U243" s="144"/>
    </row>
    <row r="244" spans="2:21" x14ac:dyDescent="0.2">
      <c r="B244" s="446"/>
    </row>
    <row r="247" spans="2:21" x14ac:dyDescent="0.2">
      <c r="O247" s="733"/>
    </row>
    <row r="248" spans="2:21" x14ac:dyDescent="0.2">
      <c r="O248" s="733"/>
    </row>
    <row r="249" spans="2:21" x14ac:dyDescent="0.2">
      <c r="O249" s="733"/>
    </row>
    <row r="251" spans="2:21" x14ac:dyDescent="0.2">
      <c r="D251" s="41" t="s">
        <v>442</v>
      </c>
      <c r="E251" s="734"/>
    </row>
    <row r="260" spans="2:10" x14ac:dyDescent="0.2">
      <c r="J260" s="41" t="s">
        <v>431</v>
      </c>
    </row>
    <row r="261" spans="2:10" x14ac:dyDescent="0.2">
      <c r="D261" s="41" t="s">
        <v>430</v>
      </c>
    </row>
    <row r="266" spans="2:10" x14ac:dyDescent="0.2">
      <c r="B266" s="735" t="s">
        <v>680</v>
      </c>
    </row>
    <row r="267" spans="2:10" x14ac:dyDescent="0.2">
      <c r="B267" s="41" t="s">
        <v>432</v>
      </c>
    </row>
    <row r="269" spans="2:10" x14ac:dyDescent="0.2">
      <c r="B269" s="736" t="s">
        <v>433</v>
      </c>
    </row>
    <row r="270" spans="2:10" x14ac:dyDescent="0.2">
      <c r="B270" s="41" t="s">
        <v>434</v>
      </c>
    </row>
    <row r="271" spans="2:10" x14ac:dyDescent="0.2">
      <c r="B271" s="41" t="s">
        <v>438</v>
      </c>
    </row>
    <row r="272" spans="2:10" x14ac:dyDescent="0.2">
      <c r="B272" s="41" t="s">
        <v>435</v>
      </c>
    </row>
    <row r="273" spans="2:2" x14ac:dyDescent="0.2">
      <c r="B273" s="41" t="s">
        <v>439</v>
      </c>
    </row>
    <row r="274" spans="2:2" x14ac:dyDescent="0.2">
      <c r="B274" s="41" t="s">
        <v>436</v>
      </c>
    </row>
    <row r="275" spans="2:2" x14ac:dyDescent="0.2">
      <c r="B275" s="41" t="s">
        <v>437</v>
      </c>
    </row>
    <row r="277" spans="2:2" x14ac:dyDescent="0.2">
      <c r="B277" s="737" t="s">
        <v>440</v>
      </c>
    </row>
    <row r="278" spans="2:2" x14ac:dyDescent="0.2">
      <c r="B278" s="41" t="s">
        <v>441</v>
      </c>
    </row>
    <row r="279" spans="2:2" x14ac:dyDescent="0.2">
      <c r="B279" s="41" t="s">
        <v>443</v>
      </c>
    </row>
    <row r="283" spans="2:2" x14ac:dyDescent="0.2">
      <c r="B283" s="94" t="s">
        <v>457</v>
      </c>
    </row>
    <row r="284" spans="2:2" x14ac:dyDescent="0.2">
      <c r="B284" s="41" t="s">
        <v>458</v>
      </c>
    </row>
    <row r="285" spans="2:2" x14ac:dyDescent="0.2">
      <c r="B285" s="41" t="s">
        <v>459</v>
      </c>
    </row>
    <row r="286" spans="2:2" x14ac:dyDescent="0.2">
      <c r="B286" s="41" t="s">
        <v>460</v>
      </c>
    </row>
    <row r="287" spans="2:2" x14ac:dyDescent="0.2">
      <c r="B287" s="41" t="s">
        <v>461</v>
      </c>
    </row>
    <row r="288" spans="2:2" x14ac:dyDescent="0.2">
      <c r="B288" s="41" t="s">
        <v>462</v>
      </c>
    </row>
    <row r="289" spans="2:5" x14ac:dyDescent="0.2">
      <c r="B289" s="41" t="s">
        <v>463</v>
      </c>
    </row>
    <row r="290" spans="2:5" x14ac:dyDescent="0.2">
      <c r="B290" s="41" t="s">
        <v>464</v>
      </c>
    </row>
    <row r="291" spans="2:5" x14ac:dyDescent="0.2">
      <c r="B291" s="41" t="s">
        <v>465</v>
      </c>
    </row>
    <row r="292" spans="2:5" x14ac:dyDescent="0.2">
      <c r="B292" s="41" t="s">
        <v>469</v>
      </c>
    </row>
    <row r="293" spans="2:5" x14ac:dyDescent="0.2">
      <c r="B293" s="41" t="s">
        <v>474</v>
      </c>
    </row>
    <row r="298" spans="2:5" x14ac:dyDescent="0.2">
      <c r="B298" s="41" t="s">
        <v>466</v>
      </c>
    </row>
    <row r="299" spans="2:5" x14ac:dyDescent="0.2">
      <c r="B299" s="41" t="s">
        <v>467</v>
      </c>
      <c r="D299" s="41" t="s">
        <v>468</v>
      </c>
    </row>
    <row r="302" spans="2:5" x14ac:dyDescent="0.2">
      <c r="B302" s="94" t="s">
        <v>710</v>
      </c>
    </row>
    <row r="303" spans="2:5" x14ac:dyDescent="0.2">
      <c r="B303" s="94" t="s">
        <v>703</v>
      </c>
      <c r="C303" s="94" t="s">
        <v>704</v>
      </c>
      <c r="D303" s="94" t="s">
        <v>704</v>
      </c>
      <c r="E303" s="94" t="s">
        <v>709</v>
      </c>
    </row>
    <row r="305" spans="2:5" x14ac:dyDescent="0.2">
      <c r="B305" s="94" t="s">
        <v>705</v>
      </c>
      <c r="C305" s="41" t="s">
        <v>708</v>
      </c>
    </row>
    <row r="306" spans="2:5" x14ac:dyDescent="0.2">
      <c r="B306" s="41" t="s">
        <v>225</v>
      </c>
      <c r="C306" s="41">
        <v>262</v>
      </c>
      <c r="D306" s="41">
        <v>104</v>
      </c>
    </row>
    <row r="307" spans="2:5" x14ac:dyDescent="0.2">
      <c r="B307" s="41" t="s">
        <v>255</v>
      </c>
      <c r="C307" s="41">
        <v>11.6</v>
      </c>
      <c r="E307" s="41">
        <v>18</v>
      </c>
    </row>
    <row r="308" spans="2:5" x14ac:dyDescent="0.2">
      <c r="B308" s="41" t="s">
        <v>231</v>
      </c>
      <c r="C308" s="41">
        <v>1.43</v>
      </c>
      <c r="D308" s="41">
        <v>1.3580000000000001</v>
      </c>
    </row>
    <row r="309" spans="2:5" x14ac:dyDescent="0.2">
      <c r="B309" s="41" t="s">
        <v>230</v>
      </c>
      <c r="C309" s="41">
        <v>1.22</v>
      </c>
      <c r="D309" s="41">
        <v>0.63</v>
      </c>
      <c r="E309" s="41">
        <v>2</v>
      </c>
    </row>
    <row r="310" spans="2:5" x14ac:dyDescent="0.2">
      <c r="B310" s="41" t="s">
        <v>706</v>
      </c>
      <c r="C310" s="41">
        <v>66.7</v>
      </c>
      <c r="D310" s="41">
        <v>20</v>
      </c>
      <c r="E310" s="41">
        <v>29.6</v>
      </c>
    </row>
    <row r="311" spans="2:5" x14ac:dyDescent="0.2">
      <c r="B311" s="41" t="s">
        <v>707</v>
      </c>
      <c r="C311" s="41">
        <v>6.84</v>
      </c>
      <c r="D311" s="41">
        <v>3.25</v>
      </c>
      <c r="E311" s="41">
        <v>6.6</v>
      </c>
    </row>
    <row r="312" spans="2:5" x14ac:dyDescent="0.2">
      <c r="B312" s="41" t="s">
        <v>712</v>
      </c>
      <c r="E312" s="41">
        <v>9.3000000000000007</v>
      </c>
    </row>
    <row r="313" spans="2:5" x14ac:dyDescent="0.2">
      <c r="B313" s="41" t="s">
        <v>90</v>
      </c>
      <c r="C313" s="41">
        <v>123.3</v>
      </c>
      <c r="D313" s="41">
        <v>99</v>
      </c>
      <c r="E313" s="41">
        <v>4</v>
      </c>
    </row>
    <row r="315" spans="2:5" x14ac:dyDescent="0.2">
      <c r="B315" s="94" t="s">
        <v>711</v>
      </c>
    </row>
    <row r="317" spans="2:5" x14ac:dyDescent="0.2">
      <c r="B317" s="41" t="s">
        <v>230</v>
      </c>
      <c r="C317" s="41">
        <v>0.12</v>
      </c>
    </row>
    <row r="318" spans="2:5" x14ac:dyDescent="0.2">
      <c r="B318" s="41" t="s">
        <v>254</v>
      </c>
      <c r="C318" s="41">
        <v>1</v>
      </c>
    </row>
    <row r="319" spans="2:5" x14ac:dyDescent="0.2">
      <c r="B319" s="41" t="s">
        <v>225</v>
      </c>
      <c r="C319" s="41">
        <v>13.5</v>
      </c>
    </row>
    <row r="321" spans="2:2" x14ac:dyDescent="0.2">
      <c r="B321" s="94" t="s">
        <v>713</v>
      </c>
    </row>
  </sheetData>
  <sheetProtection password="D65F" sheet="1" objects="1" scenarios="1"/>
  <sortState ref="R105:AB108">
    <sortCondition ref="R105"/>
  </sortState>
  <customSheetViews>
    <customSheetView guid="{2A376E74-9008-4CC4-AF78-5E9088D4FA1D}" state="hidden">
      <pageMargins left="0.7" right="0.7" top="0.78740157499999996" bottom="0.78740157499999996" header="0.3" footer="0.3"/>
    </customSheetView>
  </customSheetViews>
  <mergeCells count="85">
    <mergeCell ref="R240:S240"/>
    <mergeCell ref="R241:S241"/>
    <mergeCell ref="R242:S242"/>
    <mergeCell ref="S147:T147"/>
    <mergeCell ref="S146:T146"/>
    <mergeCell ref="S140:T140"/>
    <mergeCell ref="S142:T142"/>
    <mergeCell ref="U25:V25"/>
    <mergeCell ref="S76:T76"/>
    <mergeCell ref="S77:T77"/>
    <mergeCell ref="S78:T78"/>
    <mergeCell ref="S107:T107"/>
    <mergeCell ref="S108:T108"/>
    <mergeCell ref="S141:T141"/>
    <mergeCell ref="S105:T105"/>
    <mergeCell ref="S106:T106"/>
    <mergeCell ref="S104:T104"/>
    <mergeCell ref="S139:T139"/>
    <mergeCell ref="AI133:AL133"/>
    <mergeCell ref="AJ11:AL11"/>
    <mergeCell ref="AJ14:AL14"/>
    <mergeCell ref="AJ16:AM16"/>
    <mergeCell ref="AJ17:AM17"/>
    <mergeCell ref="AJ18:AM18"/>
    <mergeCell ref="AK45:AL45"/>
    <mergeCell ref="AM112:AN114"/>
    <mergeCell ref="AJ119:AL119"/>
    <mergeCell ref="AJ120:AL120"/>
    <mergeCell ref="AJ21:AM21"/>
    <mergeCell ref="AJ121:AL121"/>
    <mergeCell ref="AK74:AL74"/>
    <mergeCell ref="AK81:AL81"/>
    <mergeCell ref="AR12:AS12"/>
    <mergeCell ref="AR13:AS13"/>
    <mergeCell ref="AT82:AU82"/>
    <mergeCell ref="AT79:AU79"/>
    <mergeCell ref="AT78:AU78"/>
    <mergeCell ref="AO16:AR16"/>
    <mergeCell ref="AO20:AR20"/>
    <mergeCell ref="AO19:AR19"/>
    <mergeCell ref="AN45:AO45"/>
    <mergeCell ref="AN81:AQ81"/>
    <mergeCell ref="AN74:AO74"/>
    <mergeCell ref="D72:H73"/>
    <mergeCell ref="A17:A92"/>
    <mergeCell ref="S21:T21"/>
    <mergeCell ref="S22:T22"/>
    <mergeCell ref="S23:T23"/>
    <mergeCell ref="S24:T24"/>
    <mergeCell ref="S25:T25"/>
    <mergeCell ref="S29:T29"/>
    <mergeCell ref="S30:T30"/>
    <mergeCell ref="S28:T28"/>
    <mergeCell ref="AR7:AS7"/>
    <mergeCell ref="AR10:AS10"/>
    <mergeCell ref="AK29:AL29"/>
    <mergeCell ref="AN29:AO29"/>
    <mergeCell ref="U21:V21"/>
    <mergeCell ref="U22:V22"/>
    <mergeCell ref="U23:V23"/>
    <mergeCell ref="AJ7:AL7"/>
    <mergeCell ref="AJ8:AL8"/>
    <mergeCell ref="AJ9:AL9"/>
    <mergeCell ref="AJ10:AL10"/>
    <mergeCell ref="AJ12:AL12"/>
    <mergeCell ref="AR11:AS11"/>
    <mergeCell ref="AJ13:AL13"/>
    <mergeCell ref="AO15:AR15"/>
    <mergeCell ref="AJ20:AM20"/>
    <mergeCell ref="BG81:BH81"/>
    <mergeCell ref="BF74:BF76"/>
    <mergeCell ref="BI74:BI76"/>
    <mergeCell ref="BG74:BH74"/>
    <mergeCell ref="BD74:BE74"/>
    <mergeCell ref="AV48:AW48"/>
    <mergeCell ref="AS48:AT48"/>
    <mergeCell ref="AO21:AR21"/>
    <mergeCell ref="BD81:BE81"/>
    <mergeCell ref="AZ45:BA45"/>
    <mergeCell ref="BC45:BD45"/>
    <mergeCell ref="AV74:AW74"/>
    <mergeCell ref="AY74:AZ74"/>
    <mergeCell ref="AT80:AU80"/>
    <mergeCell ref="AT75:AU77"/>
    <mergeCell ref="AT81:AU81"/>
  </mergeCells>
  <pageMargins left="0.7" right="0.7" top="0.78740157499999996" bottom="0.78740157499999996"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P96"/>
  <sheetViews>
    <sheetView workbookViewId="0"/>
  </sheetViews>
  <sheetFormatPr baseColWidth="10" defaultRowHeight="12.75" x14ac:dyDescent="0.2"/>
  <cols>
    <col min="1" max="1" width="29.140625" style="41" customWidth="1"/>
    <col min="2" max="2" width="11.42578125" style="41"/>
    <col min="3" max="3" width="13.7109375" style="41" customWidth="1"/>
    <col min="4" max="4" width="12.85546875" style="41" customWidth="1"/>
    <col min="5" max="6" width="11.42578125" style="41"/>
    <col min="7" max="11" width="11.42578125" style="127"/>
    <col min="12" max="12" width="14.85546875" style="41" customWidth="1"/>
    <col min="13" max="13" width="14.42578125" style="41" customWidth="1"/>
    <col min="14" max="14" width="15.42578125" style="41" customWidth="1"/>
    <col min="15" max="15" width="21.7109375" style="41" customWidth="1"/>
    <col min="16" max="16" width="18.28515625" style="41" customWidth="1"/>
    <col min="17" max="16384" width="11.42578125" style="41"/>
  </cols>
  <sheetData>
    <row r="2" spans="1:16" x14ac:dyDescent="0.2">
      <c r="L2" s="128" t="s">
        <v>262</v>
      </c>
      <c r="O2" s="128"/>
    </row>
    <row r="3" spans="1:16" ht="13.5" thickBot="1" x14ac:dyDescent="0.25"/>
    <row r="4" spans="1:16" x14ac:dyDescent="0.2">
      <c r="A4" s="129"/>
      <c r="B4" s="130"/>
      <c r="C4" s="13"/>
      <c r="D4" s="13"/>
      <c r="E4" s="13"/>
      <c r="L4" s="128" t="s">
        <v>263</v>
      </c>
      <c r="O4" s="128"/>
    </row>
    <row r="5" spans="1:16" ht="13.5" thickBot="1" x14ac:dyDescent="0.25">
      <c r="A5" s="131" t="s">
        <v>533</v>
      </c>
      <c r="B5" s="132"/>
      <c r="C5" s="13"/>
      <c r="D5" s="13"/>
      <c r="E5" s="13"/>
    </row>
    <row r="6" spans="1:16" x14ac:dyDescent="0.2">
      <c r="A6" s="133" t="str">
        <f>INDEX(Texte,73,Fischzuchtanlage!$N$2)</f>
        <v>Schätzung</v>
      </c>
      <c r="B6" s="132"/>
      <c r="C6" s="13"/>
      <c r="D6" s="13"/>
      <c r="E6" s="13"/>
      <c r="L6" s="134" t="s">
        <v>264</v>
      </c>
      <c r="M6" s="135" t="s">
        <v>265</v>
      </c>
      <c r="N6" s="136" t="s">
        <v>266</v>
      </c>
      <c r="O6" s="136" t="s">
        <v>267</v>
      </c>
      <c r="P6" s="137" t="s">
        <v>268</v>
      </c>
    </row>
    <row r="7" spans="1:16" ht="13.5" thickBot="1" x14ac:dyDescent="0.25">
      <c r="A7" s="133" t="str">
        <f>INDEX(Texte,74,Fischzuchtanlage!$N$2)</f>
        <v>Messung</v>
      </c>
      <c r="B7" s="132"/>
      <c r="C7" s="13"/>
      <c r="D7" s="13"/>
      <c r="E7" s="13"/>
      <c r="L7" s="138" t="s">
        <v>269</v>
      </c>
      <c r="M7" s="139" t="s">
        <v>270</v>
      </c>
      <c r="N7" s="140" t="s">
        <v>269</v>
      </c>
      <c r="O7" s="141"/>
      <c r="P7" s="142"/>
    </row>
    <row r="8" spans="1:16" ht="13.5" thickBot="1" x14ac:dyDescent="0.25">
      <c r="A8" s="143"/>
      <c r="B8" s="144"/>
      <c r="C8" s="13"/>
      <c r="D8" s="13"/>
      <c r="E8" s="13"/>
      <c r="L8" s="55">
        <v>0</v>
      </c>
      <c r="M8" s="145">
        <v>0.999</v>
      </c>
      <c r="N8" s="146"/>
      <c r="O8" s="136" t="str">
        <f>INDEX(Texte,88,Fischzuchtanlage!$N$2)</f>
        <v>sehr gut</v>
      </c>
      <c r="P8" s="147">
        <v>1</v>
      </c>
    </row>
    <row r="9" spans="1:16" ht="13.5" thickBot="1" x14ac:dyDescent="0.25">
      <c r="L9" s="49">
        <v>1</v>
      </c>
      <c r="M9" s="148">
        <v>1.9990000000000001</v>
      </c>
      <c r="N9" s="149">
        <v>1.5</v>
      </c>
      <c r="O9" s="50" t="str">
        <f>INDEX(Texte,89,Fischzuchtanlage!$N$2)</f>
        <v>gut</v>
      </c>
      <c r="P9" s="150">
        <v>2</v>
      </c>
    </row>
    <row r="10" spans="1:16" x14ac:dyDescent="0.2">
      <c r="A10" s="129"/>
      <c r="B10" s="130"/>
      <c r="L10" s="49">
        <v>2</v>
      </c>
      <c r="M10" s="148">
        <v>2.9990000000000001</v>
      </c>
      <c r="N10" s="149">
        <v>2.5</v>
      </c>
      <c r="O10" s="50" t="str">
        <f>INDEX(Texte,90,Fischzuchtanlage!$N$2)</f>
        <v>mässig</v>
      </c>
      <c r="P10" s="150">
        <v>3</v>
      </c>
    </row>
    <row r="11" spans="1:16" x14ac:dyDescent="0.2">
      <c r="A11" s="151" t="s">
        <v>537</v>
      </c>
      <c r="B11" s="132"/>
      <c r="L11" s="49">
        <v>3</v>
      </c>
      <c r="M11" s="148">
        <v>3.9990000000000001</v>
      </c>
      <c r="N11" s="149">
        <v>3.5</v>
      </c>
      <c r="O11" s="50" t="str">
        <f>INDEX(Texte,91,Fischzuchtanlage!$N$2)</f>
        <v>unbefriedigend</v>
      </c>
      <c r="P11" s="150">
        <v>4</v>
      </c>
    </row>
    <row r="12" spans="1:16" ht="13.5" thickBot="1" x14ac:dyDescent="0.25">
      <c r="A12" s="133" t="str">
        <f>INDEX(Texte,79,Fischzuchtanlage!$N$2)</f>
        <v>gering</v>
      </c>
      <c r="B12" s="132"/>
      <c r="L12" s="56">
        <v>4</v>
      </c>
      <c r="M12" s="152">
        <v>100</v>
      </c>
      <c r="N12" s="153"/>
      <c r="O12" s="141" t="str">
        <f>INDEX(Texte,92,Fischzuchtanlage!$N$2)</f>
        <v>schlecht</v>
      </c>
      <c r="P12" s="154">
        <v>5</v>
      </c>
    </row>
    <row r="13" spans="1:16" ht="13.5" thickBot="1" x14ac:dyDescent="0.25">
      <c r="A13" s="133" t="str">
        <f>INDEX(Texte,80,Fischzuchtanlage!$N$2)</f>
        <v>hoch</v>
      </c>
      <c r="B13" s="132"/>
      <c r="L13" s="51">
        <v>4.0999999999999996</v>
      </c>
      <c r="M13" s="155"/>
      <c r="N13" s="155"/>
      <c r="O13" s="156" t="str">
        <f>INDEX(Texte,93,Fischzuchtanlage!$N$2)</f>
        <v>zu schlecht</v>
      </c>
      <c r="P13" s="154">
        <v>6</v>
      </c>
    </row>
    <row r="14" spans="1:16" ht="13.5" thickBot="1" x14ac:dyDescent="0.25">
      <c r="A14" s="143"/>
      <c r="B14" s="144"/>
      <c r="P14" s="157"/>
    </row>
    <row r="15" spans="1:16" x14ac:dyDescent="0.2">
      <c r="D15" s="41" t="s">
        <v>1030</v>
      </c>
      <c r="L15" s="128" t="s">
        <v>277</v>
      </c>
      <c r="O15" s="128"/>
      <c r="P15" s="157"/>
    </row>
    <row r="16" spans="1:16" ht="13.5" thickBot="1" x14ac:dyDescent="0.25">
      <c r="D16" s="41" t="s">
        <v>1031</v>
      </c>
      <c r="P16" s="157"/>
    </row>
    <row r="17" spans="1:16" x14ac:dyDescent="0.2">
      <c r="A17" s="94" t="s">
        <v>534</v>
      </c>
      <c r="F17" s="13"/>
      <c r="L17" s="134" t="s">
        <v>264</v>
      </c>
      <c r="M17" s="135" t="s">
        <v>265</v>
      </c>
      <c r="N17" s="136" t="s">
        <v>266</v>
      </c>
      <c r="O17" s="136" t="s">
        <v>267</v>
      </c>
      <c r="P17" s="158" t="s">
        <v>268</v>
      </c>
    </row>
    <row r="18" spans="1:16" ht="13.5" thickBot="1" x14ac:dyDescent="0.25">
      <c r="C18" s="41" t="s">
        <v>535</v>
      </c>
      <c r="D18" s="41" t="s">
        <v>536</v>
      </c>
      <c r="E18" s="41" t="s">
        <v>530</v>
      </c>
      <c r="F18" s="14"/>
      <c r="G18" s="159"/>
      <c r="H18" s="159"/>
      <c r="I18" s="159"/>
      <c r="J18" s="159"/>
      <c r="K18" s="159"/>
      <c r="L18" s="138" t="s">
        <v>269</v>
      </c>
      <c r="M18" s="139" t="s">
        <v>278</v>
      </c>
      <c r="N18" s="140" t="s">
        <v>269</v>
      </c>
      <c r="O18" s="141"/>
      <c r="P18" s="160"/>
    </row>
    <row r="19" spans="1:16" x14ac:dyDescent="0.2">
      <c r="A19" s="41" t="s">
        <v>526</v>
      </c>
      <c r="B19" s="41" t="s">
        <v>269</v>
      </c>
      <c r="C19" s="161">
        <f>Fischzuchtanlage!I59</f>
        <v>0</v>
      </c>
      <c r="D19" s="162" t="str">
        <f>Fischzuchtanlage!L59</f>
        <v>gering</v>
      </c>
      <c r="E19" s="163" t="str">
        <f>IF(C19&gt;0,IF(D19=A12,VLOOKUP(C19,DOC,4),VLOOKUP(C19,DOCNormal,4)),"")</f>
        <v/>
      </c>
      <c r="F19" s="823"/>
      <c r="G19" s="823"/>
      <c r="H19" s="823"/>
      <c r="I19" s="14"/>
      <c r="J19" s="14"/>
      <c r="K19" s="14"/>
      <c r="L19" s="55">
        <v>0</v>
      </c>
      <c r="M19" s="145">
        <v>1.9990000000000001</v>
      </c>
      <c r="N19" s="146"/>
      <c r="O19" s="136" t="str">
        <f>INDEX(Texte,88,Fischzuchtanlage!$N$2)</f>
        <v>sehr gut</v>
      </c>
      <c r="P19" s="147">
        <v>1</v>
      </c>
    </row>
    <row r="20" spans="1:16" x14ac:dyDescent="0.2">
      <c r="A20" s="41" t="s">
        <v>527</v>
      </c>
      <c r="B20" s="41" t="s">
        <v>269</v>
      </c>
      <c r="C20" s="161">
        <f>Fischzuchtanlage!I60</f>
        <v>0</v>
      </c>
      <c r="D20" s="14"/>
      <c r="E20" s="163" t="str">
        <f>IF(C20&gt;0,VLOOKUP(C20,NH4N,4),"")</f>
        <v/>
      </c>
      <c r="F20" s="823"/>
      <c r="G20" s="823"/>
      <c r="H20" s="823"/>
      <c r="I20" s="14"/>
      <c r="J20" s="14"/>
      <c r="K20" s="14"/>
      <c r="L20" s="49">
        <v>2</v>
      </c>
      <c r="M20" s="148">
        <v>3.9990000000000001</v>
      </c>
      <c r="N20" s="149">
        <v>3</v>
      </c>
      <c r="O20" s="50" t="str">
        <f>INDEX(Texte,89,Fischzuchtanlage!$N$2)</f>
        <v>gut</v>
      </c>
      <c r="P20" s="150">
        <v>2</v>
      </c>
    </row>
    <row r="21" spans="1:16" x14ac:dyDescent="0.2">
      <c r="A21" s="41" t="s">
        <v>541</v>
      </c>
      <c r="B21" s="41" t="s">
        <v>269</v>
      </c>
      <c r="C21" s="161">
        <f>Fischzuchtanlage!I61</f>
        <v>0</v>
      </c>
      <c r="D21" s="14"/>
      <c r="E21" s="163" t="str">
        <f>IF(C21&gt;0,VLOOKUP(C21,NO3N,4),"")</f>
        <v/>
      </c>
      <c r="F21" s="823"/>
      <c r="G21" s="823"/>
      <c r="H21" s="823"/>
      <c r="I21" s="14"/>
      <c r="J21" s="14"/>
      <c r="K21" s="14"/>
      <c r="L21" s="49">
        <v>4</v>
      </c>
      <c r="M21" s="148">
        <v>5.9989999999999997</v>
      </c>
      <c r="N21" s="149">
        <v>5</v>
      </c>
      <c r="O21" s="50" t="str">
        <f>INDEX(Texte,90,Fischzuchtanlage!$N$2)</f>
        <v>mässig</v>
      </c>
      <c r="P21" s="150">
        <v>3</v>
      </c>
    </row>
    <row r="22" spans="1:16" x14ac:dyDescent="0.2">
      <c r="A22" s="41" t="s">
        <v>528</v>
      </c>
      <c r="B22" s="41" t="s">
        <v>269</v>
      </c>
      <c r="C22" s="161">
        <f>Fischzuchtanlage!I62</f>
        <v>0</v>
      </c>
      <c r="D22" s="14"/>
      <c r="E22" s="163" t="str">
        <f>IF(C22&gt;0,VLOOKUP(C22,GelP,4),"")</f>
        <v/>
      </c>
      <c r="F22" s="823"/>
      <c r="G22" s="823"/>
      <c r="H22" s="823"/>
      <c r="I22" s="14"/>
      <c r="J22" s="14"/>
      <c r="K22" s="14"/>
      <c r="L22" s="49">
        <v>6</v>
      </c>
      <c r="M22" s="148">
        <v>7.9989999999999997</v>
      </c>
      <c r="N22" s="149">
        <v>7</v>
      </c>
      <c r="O22" s="50" t="str">
        <f>INDEX(Texte,91,Fischzuchtanlage!$N$2)</f>
        <v>unbefriedigend</v>
      </c>
      <c r="P22" s="150">
        <v>4</v>
      </c>
    </row>
    <row r="23" spans="1:16" ht="13.5" thickBot="1" x14ac:dyDescent="0.25">
      <c r="A23" s="41" t="s">
        <v>720</v>
      </c>
      <c r="B23" s="41" t="s">
        <v>269</v>
      </c>
      <c r="C23" s="161">
        <f>Fischzuchtanlage!I63</f>
        <v>0</v>
      </c>
      <c r="E23" s="163" t="str">
        <f>IF(C23&gt;0,VLOOKUP(C23,GesP,4),"")</f>
        <v/>
      </c>
      <c r="F23" s="823"/>
      <c r="G23" s="823"/>
      <c r="H23" s="823"/>
      <c r="I23" s="14"/>
      <c r="J23" s="14"/>
      <c r="K23" s="14"/>
      <c r="L23" s="56">
        <v>8</v>
      </c>
      <c r="M23" s="152">
        <v>100</v>
      </c>
      <c r="N23" s="153"/>
      <c r="O23" s="141" t="str">
        <f>INDEX(Texte,92,Fischzuchtanlage!$N$2)</f>
        <v>schlecht</v>
      </c>
      <c r="P23" s="154">
        <v>5</v>
      </c>
    </row>
    <row r="24" spans="1:16" ht="13.5" thickBot="1" x14ac:dyDescent="0.25">
      <c r="F24" s="13"/>
      <c r="L24" s="165">
        <v>8.1</v>
      </c>
      <c r="M24" s="115"/>
      <c r="N24" s="115"/>
      <c r="O24" s="156" t="str">
        <f>INDEX(Texte,93,Fischzuchtanlage!$N$2)</f>
        <v>zu schlecht</v>
      </c>
      <c r="P24" s="166">
        <v>6</v>
      </c>
    </row>
    <row r="25" spans="1:16" ht="13.5" thickBot="1" x14ac:dyDescent="0.25">
      <c r="I25" s="13"/>
      <c r="P25" s="157"/>
    </row>
    <row r="26" spans="1:16" ht="13.5" thickBot="1" x14ac:dyDescent="0.25">
      <c r="A26" s="207" t="s">
        <v>767</v>
      </c>
      <c r="B26" s="208"/>
      <c r="C26" s="208"/>
      <c r="D26" s="164"/>
      <c r="E26" s="136"/>
      <c r="I26" s="13"/>
      <c r="L26" s="128" t="s">
        <v>279</v>
      </c>
      <c r="O26" s="128"/>
      <c r="P26" s="157"/>
    </row>
    <row r="27" spans="1:16" ht="26.25" thickBot="1" x14ac:dyDescent="0.25">
      <c r="A27" s="49"/>
      <c r="B27" s="5"/>
      <c r="C27" s="209" t="s">
        <v>716</v>
      </c>
      <c r="D27" s="209" t="s">
        <v>1021</v>
      </c>
      <c r="E27" s="149"/>
      <c r="G27" s="1070" t="s">
        <v>768</v>
      </c>
      <c r="H27" s="1071"/>
      <c r="I27" s="14"/>
      <c r="P27" s="157"/>
    </row>
    <row r="28" spans="1:16" ht="13.5" thickBot="1" x14ac:dyDescent="0.25">
      <c r="A28" s="49" t="s">
        <v>526</v>
      </c>
      <c r="B28" s="5" t="s">
        <v>269</v>
      </c>
      <c r="C28" s="168" t="e">
        <f>(Fischzuchtanlage!J$42*Fischzuchtanlage!G87)/(Fischzuchtanlage!J$42+Fischzuchtanlage!J$52)</f>
        <v>#VALUE!</v>
      </c>
      <c r="D28" s="1063" t="e">
        <f>IF(D19=A13,IF(C28&lt;StufeDOCHoch,tragbar,IF(C28&lt;$K$76/$K$73*StufeDOCHoch,kritisch,G30)),IF(C28&lt;StufeDOCGering,tragbar,IF(C28&lt;$K$76/$K$73*StufeDOCGering,kritisch,nicht)))</f>
        <v>#VALUE!</v>
      </c>
      <c r="E28" s="1063"/>
      <c r="G28" s="1067" t="str">
        <f>INDEX(Texte,151,Fischzuchtanlage!$N$2)</f>
        <v>voraussichtlich tragbar</v>
      </c>
      <c r="H28" s="1042"/>
      <c r="I28" s="14"/>
      <c r="L28" s="134" t="s">
        <v>264</v>
      </c>
      <c r="M28" s="135" t="s">
        <v>265</v>
      </c>
      <c r="N28" s="164" t="s">
        <v>266</v>
      </c>
      <c r="O28" s="136" t="s">
        <v>267</v>
      </c>
      <c r="P28" s="158" t="s">
        <v>268</v>
      </c>
    </row>
    <row r="29" spans="1:16" ht="13.5" thickBot="1" x14ac:dyDescent="0.25">
      <c r="A29" s="49" t="s">
        <v>527</v>
      </c>
      <c r="B29" s="5" t="s">
        <v>269</v>
      </c>
      <c r="C29" s="168" t="e">
        <f>(Fischzuchtanlage!J$42*Fischzuchtanlage!G88)/(Fischzuchtanlage!J$42+Fischzuchtanlage!J$52)</f>
        <v>#VALUE!</v>
      </c>
      <c r="D29" s="1063" t="e">
        <f>IF(C29&lt;StufeNH4,tragbar,IF(C29&lt;$K$76/$K$73*StufeNH4,kritisch,nicht))</f>
        <v>#VALUE!</v>
      </c>
      <c r="E29" s="1063"/>
      <c r="G29" s="1067" t="str">
        <f>INDEX(Texte,152,Fischzuchtanlage!$N$2)</f>
        <v>kritisch</v>
      </c>
      <c r="H29" s="1042"/>
      <c r="I29" s="14"/>
      <c r="L29" s="169" t="s">
        <v>269</v>
      </c>
      <c r="M29" s="170" t="s">
        <v>278</v>
      </c>
      <c r="N29" s="171" t="s">
        <v>269</v>
      </c>
      <c r="O29" s="48"/>
      <c r="P29" s="160"/>
    </row>
    <row r="30" spans="1:16" ht="13.5" thickBot="1" x14ac:dyDescent="0.25">
      <c r="A30" s="49" t="s">
        <v>541</v>
      </c>
      <c r="B30" s="5" t="s">
        <v>269</v>
      </c>
      <c r="C30" s="168" t="e">
        <f>(Fischzuchtanlage!J$42*Fischzuchtanlage!G89)/(Fischzuchtanlage!J$42+Fischzuchtanlage!J$52)</f>
        <v>#DIV/0!</v>
      </c>
      <c r="D30" s="1063" t="e">
        <f>IF(C30&lt;StufeNO3,tragbar,IF(C30&lt;$K$76/$K$73*StufeNO3,kritisch,nicht))</f>
        <v>#DIV/0!</v>
      </c>
      <c r="E30" s="1063"/>
      <c r="G30" s="1068" t="str">
        <f>INDEX(Texte,153,Fischzuchtanlage!$N$2)</f>
        <v>nicht tragbar</v>
      </c>
      <c r="H30" s="1069"/>
      <c r="I30" s="14"/>
      <c r="L30" s="55">
        <v>0</v>
      </c>
      <c r="M30" s="172">
        <v>3.9989999999999998E-2</v>
      </c>
      <c r="N30" s="146"/>
      <c r="O30" s="136" t="str">
        <f>INDEX(Texte,88,Fischzuchtanlage!$N$2)</f>
        <v>sehr gut</v>
      </c>
      <c r="P30" s="173">
        <v>1</v>
      </c>
    </row>
    <row r="31" spans="1:16" x14ac:dyDescent="0.2">
      <c r="A31" s="49" t="s">
        <v>528</v>
      </c>
      <c r="B31" s="5" t="s">
        <v>269</v>
      </c>
      <c r="C31" s="168" t="e">
        <f>(Fischzuchtanlage!J$42*Fischzuchtanlage!G91)/(Fischzuchtanlage!J$42+Fischzuchtanlage!J$52)</f>
        <v>#DIV/0!</v>
      </c>
      <c r="D31" s="1063" t="e">
        <f>IF(C31&lt;StufePGel,tragbar,IF(C31&lt;$K$76/$K$73*StufePGel,kritisch,nicht))</f>
        <v>#DIV/0!</v>
      </c>
      <c r="E31" s="1063"/>
      <c r="L31" s="49">
        <v>0.04</v>
      </c>
      <c r="M31" s="174">
        <v>0.19989999999999999</v>
      </c>
      <c r="N31" s="149">
        <v>0.12</v>
      </c>
      <c r="O31" s="50" t="str">
        <f>INDEX(Texte,89,Fischzuchtanlage!$N$2)</f>
        <v>gut</v>
      </c>
      <c r="P31" s="150">
        <v>2</v>
      </c>
    </row>
    <row r="32" spans="1:16" x14ac:dyDescent="0.2">
      <c r="A32" s="49" t="s">
        <v>714</v>
      </c>
      <c r="B32" s="5" t="s">
        <v>269</v>
      </c>
      <c r="C32" s="168" t="e">
        <f>(Fischzuchtanlage!J$42*Fischzuchtanlage!G92)/(Fischzuchtanlage!J$42+Fischzuchtanlage!J$52)</f>
        <v>#DIV/0!</v>
      </c>
      <c r="D32" s="1063" t="e">
        <f>IF(C32&lt;StufePges,tragbar,IF(C32&lt;$K$76/$K$73*StufePges,kritisch,nicht))</f>
        <v>#DIV/0!</v>
      </c>
      <c r="E32" s="1063"/>
      <c r="L32" s="49">
        <v>0.2</v>
      </c>
      <c r="M32" s="174">
        <v>0.2999</v>
      </c>
      <c r="N32" s="149">
        <v>0.25</v>
      </c>
      <c r="O32" s="50" t="str">
        <f>INDEX(Texte,90,Fischzuchtanlage!$N$2)</f>
        <v>mässig</v>
      </c>
      <c r="P32" s="150">
        <v>3</v>
      </c>
    </row>
    <row r="33" spans="1:16" ht="13.5" thickBot="1" x14ac:dyDescent="0.25">
      <c r="A33" s="56"/>
      <c r="B33" s="155"/>
      <c r="C33" s="155"/>
      <c r="D33" s="155"/>
      <c r="E33" s="141"/>
      <c r="L33" s="49">
        <v>0.3</v>
      </c>
      <c r="M33" s="174">
        <v>0.39989999999999998</v>
      </c>
      <c r="N33" s="149">
        <v>0.35</v>
      </c>
      <c r="O33" s="50" t="str">
        <f>INDEX(Texte,91,Fischzuchtanlage!$N$2)</f>
        <v>unbefriedigend</v>
      </c>
      <c r="P33" s="150">
        <v>4</v>
      </c>
    </row>
    <row r="34" spans="1:16" ht="13.5" thickBot="1" x14ac:dyDescent="0.25">
      <c r="L34" s="56">
        <v>0.4</v>
      </c>
      <c r="M34" s="175">
        <v>100</v>
      </c>
      <c r="N34" s="153"/>
      <c r="O34" s="141" t="str">
        <f>INDEX(Texte,92,Fischzuchtanlage!$N$2)</f>
        <v>schlecht</v>
      </c>
      <c r="P34" s="154">
        <v>5</v>
      </c>
    </row>
    <row r="35" spans="1:16" ht="13.5" thickBot="1" x14ac:dyDescent="0.25">
      <c r="A35" s="94" t="s">
        <v>715</v>
      </c>
      <c r="D35" s="41" t="s">
        <v>736</v>
      </c>
      <c r="L35" s="165">
        <v>0.41</v>
      </c>
      <c r="M35" s="115"/>
      <c r="N35" s="115"/>
      <c r="O35" s="156" t="str">
        <f>INDEX(Texte,93,Fischzuchtanlage!$N$2)</f>
        <v>zu schlecht</v>
      </c>
      <c r="P35" s="166">
        <v>6</v>
      </c>
    </row>
    <row r="36" spans="1:16" ht="25.5" x14ac:dyDescent="0.2">
      <c r="C36" s="167" t="s">
        <v>717</v>
      </c>
      <c r="D36" s="41" t="s">
        <v>737</v>
      </c>
      <c r="F36" s="14"/>
      <c r="G36" s="159"/>
      <c r="H36" s="159"/>
      <c r="I36" s="159"/>
      <c r="J36" s="159"/>
      <c r="K36" s="159"/>
      <c r="P36" s="157"/>
    </row>
    <row r="37" spans="1:16" x14ac:dyDescent="0.2">
      <c r="A37" s="41" t="s">
        <v>526</v>
      </c>
      <c r="B37" s="41" t="s">
        <v>269</v>
      </c>
      <c r="C37" s="168" t="str">
        <f>IF(C19&gt;0,(C19*(Fischzuchtanlage!J$52+Fischzuchtanlage!J$42)+Fischzuchtanlage!J$42*Fischzuchtanlage!G87)/(Fischzuchtanlage!J$42+Fischzuchtanlage!J$52),"")</f>
        <v/>
      </c>
      <c r="D37" s="740" t="str">
        <f>IF(C19&gt;0,IF(C37&gt;0,IF(D19=A12,VLOOKUP(C37,DOC,4),VLOOKUP(C37,DOCNormal,4)),""),"")</f>
        <v/>
      </c>
      <c r="F37" s="14"/>
      <c r="G37" s="14"/>
      <c r="H37" s="14"/>
      <c r="I37" s="14"/>
      <c r="J37" s="14"/>
      <c r="K37" s="14"/>
      <c r="L37" s="128" t="s">
        <v>540</v>
      </c>
      <c r="O37" s="128"/>
      <c r="P37" s="157"/>
    </row>
    <row r="38" spans="1:16" ht="13.5" thickBot="1" x14ac:dyDescent="0.25">
      <c r="A38" s="41" t="s">
        <v>527</v>
      </c>
      <c r="B38" s="41" t="s">
        <v>269</v>
      </c>
      <c r="C38" s="168" t="str">
        <f>IF(C20&gt;0,(C20*(Fischzuchtanlage!J$52+Fischzuchtanlage!J$42)+Fischzuchtanlage!J$42*Fischzuchtanlage!G88)/(Fischzuchtanlage!J$42+Fischzuchtanlage!J$52),"")</f>
        <v/>
      </c>
      <c r="D38" s="740" t="str">
        <f>IF(C20&gt;0,IF(C38&gt;0,VLOOKUP(C38,NH4N,4),""),"")</f>
        <v/>
      </c>
      <c r="F38" s="14"/>
      <c r="G38" s="14"/>
      <c r="H38" s="14"/>
      <c r="I38" s="14"/>
      <c r="J38" s="14"/>
      <c r="K38" s="14"/>
      <c r="P38" s="157"/>
    </row>
    <row r="39" spans="1:16" ht="13.5" thickBot="1" x14ac:dyDescent="0.25">
      <c r="A39" s="41" t="s">
        <v>541</v>
      </c>
      <c r="B39" s="41" t="s">
        <v>269</v>
      </c>
      <c r="C39" s="168" t="str">
        <f>IF(C21&gt;0,(C21*(Fischzuchtanlage!J$52+Fischzuchtanlage!J$42)+Fischzuchtanlage!J$42*Fischzuchtanlage!G89)/(Fischzuchtanlage!J$42+Fischzuchtanlage!J$52),"")</f>
        <v/>
      </c>
      <c r="D39" s="740" t="str">
        <f>IF(C21&gt;0,IF(C39&gt;0,VLOOKUP(C39,NO3N,4),""),"")</f>
        <v/>
      </c>
      <c r="F39" s="14"/>
      <c r="G39" s="14"/>
      <c r="H39" s="14"/>
      <c r="I39" s="14"/>
      <c r="J39" s="14"/>
      <c r="K39" s="14"/>
      <c r="L39" s="134" t="s">
        <v>264</v>
      </c>
      <c r="M39" s="135" t="s">
        <v>265</v>
      </c>
      <c r="N39" s="164" t="s">
        <v>266</v>
      </c>
      <c r="O39" s="136" t="s">
        <v>267</v>
      </c>
      <c r="P39" s="158" t="s">
        <v>268</v>
      </c>
    </row>
    <row r="40" spans="1:16" ht="13.5" thickBot="1" x14ac:dyDescent="0.25">
      <c r="A40" s="41" t="s">
        <v>528</v>
      </c>
      <c r="B40" s="41" t="s">
        <v>269</v>
      </c>
      <c r="C40" s="168" t="str">
        <f>IF(C22&gt;0,(C22*(Fischzuchtanlage!J$52+Fischzuchtanlage!J$42)+Fischzuchtanlage!J$42*Fischzuchtanlage!G91)/(Fischzuchtanlage!J$42+Fischzuchtanlage!J$52),"")</f>
        <v/>
      </c>
      <c r="D40" s="740" t="str">
        <f>IF(C22&gt;0,IF(C40&gt;0,VLOOKUP(C40,GelP,4),""),"")</f>
        <v/>
      </c>
      <c r="F40" s="14"/>
      <c r="G40" s="14"/>
      <c r="H40" s="14"/>
      <c r="I40" s="14"/>
      <c r="J40" s="14"/>
      <c r="K40" s="14"/>
      <c r="L40" s="169" t="s">
        <v>269</v>
      </c>
      <c r="M40" s="170" t="s">
        <v>278</v>
      </c>
      <c r="N40" s="171" t="s">
        <v>269</v>
      </c>
      <c r="O40" s="48"/>
      <c r="P40" s="160"/>
    </row>
    <row r="41" spans="1:16" x14ac:dyDescent="0.2">
      <c r="A41" s="41" t="s">
        <v>714</v>
      </c>
      <c r="B41" s="41" t="s">
        <v>269</v>
      </c>
      <c r="C41" s="168" t="str">
        <f>IF(C23&gt;0,(C23*(Fischzuchtanlage!J$52+Fischzuchtanlage!J$42)+Fischzuchtanlage!J$42*Fischzuchtanlage!G92)/(Fischzuchtanlage!J$42+Fischzuchtanlage!J$52),"")</f>
        <v/>
      </c>
      <c r="D41" s="740" t="str">
        <f>IF(C23&gt;0,IF(C41&gt;0,VLOOKUP(C41,GesP,4),""),"")</f>
        <v/>
      </c>
      <c r="F41" s="14"/>
      <c r="G41" s="14"/>
      <c r="H41" s="14"/>
      <c r="I41" s="14"/>
      <c r="J41" s="14"/>
      <c r="K41" s="14"/>
      <c r="L41" s="55">
        <v>0</v>
      </c>
      <c r="M41" s="172">
        <v>1.5</v>
      </c>
      <c r="N41" s="146"/>
      <c r="O41" s="136" t="str">
        <f>INDEX(Texte,88,Fischzuchtanlage!$N$2)</f>
        <v>sehr gut</v>
      </c>
      <c r="P41" s="173">
        <v>1</v>
      </c>
    </row>
    <row r="42" spans="1:16" x14ac:dyDescent="0.2">
      <c r="F42" s="13"/>
      <c r="L42" s="49">
        <v>1.5</v>
      </c>
      <c r="M42" s="174">
        <v>5.6</v>
      </c>
      <c r="N42" s="149">
        <f>AVERAGE(L42:M42)</f>
        <v>3.55</v>
      </c>
      <c r="O42" s="50" t="str">
        <f>INDEX(Texte,89,Fischzuchtanlage!$N$2)</f>
        <v>gut</v>
      </c>
      <c r="P42" s="150">
        <v>2</v>
      </c>
    </row>
    <row r="43" spans="1:16" x14ac:dyDescent="0.2">
      <c r="F43" s="13"/>
      <c r="L43" s="49">
        <v>5.6</v>
      </c>
      <c r="M43" s="174">
        <v>8.4</v>
      </c>
      <c r="N43" s="149">
        <f t="shared" ref="N43:N44" si="0">AVERAGE(L43:M43)</f>
        <v>7</v>
      </c>
      <c r="O43" s="50" t="str">
        <f>INDEX(Texte,90,Fischzuchtanlage!$N$2)</f>
        <v>mässig</v>
      </c>
      <c r="P43" s="150">
        <v>3</v>
      </c>
    </row>
    <row r="44" spans="1:16" x14ac:dyDescent="0.2">
      <c r="A44" s="214" t="s">
        <v>788</v>
      </c>
      <c r="B44" s="214"/>
      <c r="C44" s="214"/>
      <c r="D44" s="214"/>
      <c r="L44" s="49">
        <v>8.4</v>
      </c>
      <c r="M44" s="174">
        <v>11.2</v>
      </c>
      <c r="N44" s="149">
        <f t="shared" si="0"/>
        <v>9.8000000000000007</v>
      </c>
      <c r="O44" s="50" t="str">
        <f>INDEX(Texte,91,Fischzuchtanlage!$N$2)</f>
        <v>unbefriedigend</v>
      </c>
      <c r="P44" s="150">
        <v>4</v>
      </c>
    </row>
    <row r="45" spans="1:16" ht="13.5" thickBot="1" x14ac:dyDescent="0.25">
      <c r="A45" s="216" t="s">
        <v>785</v>
      </c>
      <c r="B45" s="214"/>
      <c r="C45" s="214"/>
      <c r="D45" s="214"/>
      <c r="L45" s="56">
        <v>11.2</v>
      </c>
      <c r="M45" s="175">
        <v>100</v>
      </c>
      <c r="N45" s="153"/>
      <c r="O45" s="141" t="str">
        <f>INDEX(Texte,92,Fischzuchtanlage!$N$2)</f>
        <v>schlecht</v>
      </c>
      <c r="P45" s="154">
        <v>5</v>
      </c>
    </row>
    <row r="46" spans="1:16" ht="13.5" thickBot="1" x14ac:dyDescent="0.25">
      <c r="A46" s="214" t="s">
        <v>66</v>
      </c>
      <c r="C46" s="217" t="s">
        <v>786</v>
      </c>
      <c r="D46" s="157" t="s">
        <v>787</v>
      </c>
      <c r="E46" s="206" t="s">
        <v>790</v>
      </c>
      <c r="F46" s="41" t="s">
        <v>791</v>
      </c>
      <c r="G46" s="127" t="s">
        <v>789</v>
      </c>
      <c r="H46" s="127" t="s">
        <v>1255</v>
      </c>
      <c r="I46" s="127" t="str">
        <f>INDEX(Texte,113,Fischzuchtanlage!$N$2)</f>
        <v>Abweichung von der zulässigen Belastung
unterhalb Grün: voraussichtlich tragbar
über Rot: nicht tragbar
Balkenüberschrift: Überschreitungsfaktor</v>
      </c>
      <c r="L46" s="165">
        <v>11.3</v>
      </c>
      <c r="M46" s="115"/>
      <c r="N46" s="115"/>
      <c r="O46" s="156" t="str">
        <f>INDEX(Texte,93,Fischzuchtanlage!$N$2)</f>
        <v>zu schlecht</v>
      </c>
      <c r="P46" s="166">
        <v>6</v>
      </c>
    </row>
    <row r="47" spans="1:16" x14ac:dyDescent="0.2">
      <c r="E47" s="157">
        <v>1</v>
      </c>
      <c r="F47" s="157">
        <f>$K$76/$K$73*1</f>
        <v>2</v>
      </c>
      <c r="I47" s="159"/>
      <c r="P47" s="157"/>
    </row>
    <row r="48" spans="1:16" x14ac:dyDescent="0.2">
      <c r="A48" s="41" t="str">
        <f>INDEX(Texte,114,Fischzuchtanlage!$N$2)</f>
        <v>DOC</v>
      </c>
      <c r="B48" s="41" t="s">
        <v>269</v>
      </c>
      <c r="C48" s="206">
        <f>IF(D19=A13,StufeDOCHoch,StufeDOCGering)</f>
        <v>0.5</v>
      </c>
      <c r="D48" s="14">
        <f>IF(D19=A13,$K$76/$K$73*StufeDOCHoch,$K$76/$K$73*StufeDOCGering)</f>
        <v>1</v>
      </c>
      <c r="E48" s="157">
        <v>1</v>
      </c>
      <c r="F48" s="157">
        <f>E48/C48*D48</f>
        <v>2</v>
      </c>
      <c r="G48" s="471" t="e">
        <f>E48*C28/C48</f>
        <v>#VALUE!</v>
      </c>
      <c r="I48" s="159"/>
      <c r="L48" s="128" t="s">
        <v>473</v>
      </c>
      <c r="O48" s="128"/>
      <c r="P48" s="157"/>
    </row>
    <row r="49" spans="1:16" ht="13.5" thickBot="1" x14ac:dyDescent="0.25">
      <c r="A49" s="41" t="str">
        <f>INDEX(Texte,115,Fischzuchtanlage!$N$2)</f>
        <v>NH4-N</v>
      </c>
      <c r="B49" s="41" t="s">
        <v>269</v>
      </c>
      <c r="C49" s="206">
        <f>StufeNH4</f>
        <v>0.05</v>
      </c>
      <c r="D49" s="14">
        <f>$K$76/$K$73*StufeNH4</f>
        <v>0.1</v>
      </c>
      <c r="E49" s="157">
        <v>1</v>
      </c>
      <c r="F49" s="157">
        <f t="shared" ref="F49:F52" si="1">E49/C49*D49</f>
        <v>2</v>
      </c>
      <c r="G49" s="471">
        <f>IF(ISERROR(E49*C29/C49),0,E49*C29/C49)</f>
        <v>0</v>
      </c>
      <c r="I49" s="159"/>
      <c r="P49" s="157"/>
    </row>
    <row r="50" spans="1:16" x14ac:dyDescent="0.2">
      <c r="A50" s="41" t="str">
        <f>INDEX(Texte,116,Fischzuchtanlage!$N$2)</f>
        <v>NO3-N</v>
      </c>
      <c r="B50" s="41" t="s">
        <v>269</v>
      </c>
      <c r="C50" s="206">
        <f>StufeNO3</f>
        <v>1.75</v>
      </c>
      <c r="D50" s="14">
        <f>$K$76/$K$73*StufeNO3</f>
        <v>3.5</v>
      </c>
      <c r="E50" s="157">
        <v>1</v>
      </c>
      <c r="F50" s="157">
        <f t="shared" si="1"/>
        <v>2</v>
      </c>
      <c r="G50" s="471" t="e">
        <f>E50*C30/C50</f>
        <v>#DIV/0!</v>
      </c>
      <c r="I50" s="159"/>
      <c r="L50" s="134" t="s">
        <v>264</v>
      </c>
      <c r="M50" s="135" t="s">
        <v>265</v>
      </c>
      <c r="N50" s="136" t="s">
        <v>266</v>
      </c>
      <c r="O50" s="136" t="s">
        <v>267</v>
      </c>
      <c r="P50" s="158" t="s">
        <v>268</v>
      </c>
    </row>
    <row r="51" spans="1:16" ht="13.5" thickBot="1" x14ac:dyDescent="0.25">
      <c r="A51" s="41" t="str">
        <f>INDEX(Texte,117,Fischzuchtanlage!$N$2)</f>
        <v>P gelöst</v>
      </c>
      <c r="B51" s="41" t="s">
        <v>269</v>
      </c>
      <c r="C51" s="206">
        <f>StufePGel</f>
        <v>1.2500000000000001E-2</v>
      </c>
      <c r="D51" s="14">
        <f>$K$76/$K$73*StufePGel</f>
        <v>2.5000000000000001E-2</v>
      </c>
      <c r="E51" s="157">
        <v>1</v>
      </c>
      <c r="F51" s="157">
        <f t="shared" si="1"/>
        <v>2</v>
      </c>
      <c r="G51" s="471" t="e">
        <f>E51*C31/C51</f>
        <v>#DIV/0!</v>
      </c>
      <c r="I51" s="159"/>
      <c r="L51" s="138" t="s">
        <v>269</v>
      </c>
      <c r="M51" s="176" t="s">
        <v>278</v>
      </c>
      <c r="N51" s="140" t="s">
        <v>269</v>
      </c>
      <c r="O51" s="141"/>
      <c r="P51" s="160"/>
    </row>
    <row r="52" spans="1:16" x14ac:dyDescent="0.2">
      <c r="A52" s="41" t="str">
        <f>INDEX(Texte,118,Fischzuchtanlage!$N$2)</f>
        <v>P tot.</v>
      </c>
      <c r="B52" s="41" t="s">
        <v>269</v>
      </c>
      <c r="C52" s="206">
        <f>StufePges</f>
        <v>1.7500000000000002E-2</v>
      </c>
      <c r="D52" s="14">
        <f>$K$76/$K$73*StufePges</f>
        <v>3.5000000000000003E-2</v>
      </c>
      <c r="E52" s="157">
        <v>1</v>
      </c>
      <c r="F52" s="157">
        <f t="shared" si="1"/>
        <v>2</v>
      </c>
      <c r="G52" s="471" t="e">
        <f>E52*C32/C52</f>
        <v>#DIV/0!</v>
      </c>
      <c r="H52" s="159"/>
      <c r="I52" s="159"/>
      <c r="L52" s="55">
        <v>0</v>
      </c>
      <c r="M52" s="172">
        <v>2.5000000000000001E-2</v>
      </c>
      <c r="N52" s="146"/>
      <c r="O52" s="136" t="str">
        <f>INDEX(Texte,88,Fischzuchtanlage!$N$2)</f>
        <v>sehr gut</v>
      </c>
      <c r="P52" s="173">
        <v>1</v>
      </c>
    </row>
    <row r="53" spans="1:16" x14ac:dyDescent="0.2">
      <c r="E53" s="157">
        <v>1</v>
      </c>
      <c r="G53" s="757"/>
      <c r="H53" s="159">
        <v>1</v>
      </c>
      <c r="L53" s="49">
        <v>2.5000000000000001E-2</v>
      </c>
      <c r="M53" s="174">
        <v>0.05</v>
      </c>
      <c r="N53" s="149">
        <f>AVERAGE(L53:M53)</f>
        <v>3.7500000000000006E-2</v>
      </c>
      <c r="O53" s="50" t="str">
        <f>INDEX(Texte,89,Fischzuchtanlage!$N$2)</f>
        <v>gut</v>
      </c>
      <c r="P53" s="150">
        <v>2</v>
      </c>
    </row>
    <row r="54" spans="1:16" x14ac:dyDescent="0.2">
      <c r="A54" s="41" t="str">
        <f>INDEX(Texte,119,Fischzuchtanlage!$N$2)</f>
        <v>GUS</v>
      </c>
      <c r="B54" s="13" t="s">
        <v>269</v>
      </c>
      <c r="C54" s="206">
        <v>20</v>
      </c>
      <c r="D54" s="14"/>
      <c r="E54" s="157"/>
      <c r="F54" s="157"/>
      <c r="G54" s="468" t="e">
        <f>H54*Fischzuchtanlage!G93/C54</f>
        <v>#VALUE!</v>
      </c>
      <c r="H54" s="159">
        <v>1</v>
      </c>
      <c r="I54" s="159"/>
      <c r="L54" s="49">
        <v>0.05</v>
      </c>
      <c r="M54" s="174">
        <v>7.4999999999999997E-2</v>
      </c>
      <c r="N54" s="149">
        <f>AVERAGE(L54:M54)</f>
        <v>6.25E-2</v>
      </c>
      <c r="O54" s="50" t="str">
        <f>INDEX(Texte,90,Fischzuchtanlage!$N$2)</f>
        <v>mässig</v>
      </c>
      <c r="P54" s="150">
        <v>3</v>
      </c>
    </row>
    <row r="55" spans="1:16" x14ac:dyDescent="0.2">
      <c r="A55" s="13"/>
      <c r="B55" s="13"/>
      <c r="C55" s="13"/>
      <c r="D55" s="13"/>
      <c r="H55" s="159">
        <v>1</v>
      </c>
      <c r="L55" s="49">
        <v>7.4999999999999997E-2</v>
      </c>
      <c r="M55" s="174">
        <v>0.1</v>
      </c>
      <c r="N55" s="149">
        <f>AVERAGE(L55:M55)</f>
        <v>8.7499999999999994E-2</v>
      </c>
      <c r="O55" s="50" t="str">
        <f>INDEX(Texte,91,Fischzuchtanlage!$N$2)</f>
        <v>unbefriedigend</v>
      </c>
      <c r="P55" s="150">
        <v>4</v>
      </c>
    </row>
    <row r="56" spans="1:16" ht="13.5" thickBot="1" x14ac:dyDescent="0.25">
      <c r="A56" s="5"/>
      <c r="L56" s="56">
        <v>0.1</v>
      </c>
      <c r="M56" s="175">
        <v>100</v>
      </c>
      <c r="N56" s="140"/>
      <c r="O56" s="141" t="str">
        <f>INDEX(Texte,92,Fischzuchtanlage!$N$2)</f>
        <v>schlecht</v>
      </c>
      <c r="P56" s="154">
        <v>5</v>
      </c>
    </row>
    <row r="57" spans="1:16" ht="13.5" thickBot="1" x14ac:dyDescent="0.25">
      <c r="A57" s="213" t="s">
        <v>917</v>
      </c>
      <c r="B57" s="94" t="s">
        <v>763</v>
      </c>
      <c r="I57" s="211"/>
      <c r="J57" s="212"/>
      <c r="L57" s="165">
        <v>1.0999999999999999E-2</v>
      </c>
      <c r="M57" s="115"/>
      <c r="N57" s="115"/>
      <c r="O57" s="156" t="str">
        <f>INDEX(Texte,93,Fischzuchtanlage!$N$2)</f>
        <v>zu schlecht</v>
      </c>
      <c r="P57" s="166">
        <v>6</v>
      </c>
    </row>
    <row r="58" spans="1:16" x14ac:dyDescent="0.2">
      <c r="A58" s="203">
        <f>IF(Fischzuchtanlage!C109&gt;0,IF(Fischzuchtanlage!C109=Fischzuchtanlage!C106,1,0),0)</f>
        <v>0</v>
      </c>
      <c r="B58" s="1050" t="str">
        <f>INDEX(Texte,165,Fischzuchtanlage!$N$2)</f>
        <v>Die Einleitung des Abwassers in das Gewässer ist voraussichtlich möglich.</v>
      </c>
      <c r="C58" s="1066"/>
      <c r="D58" s="1066"/>
      <c r="E58" s="1066"/>
      <c r="F58" s="1066"/>
      <c r="G58" s="1066"/>
      <c r="H58" s="1066"/>
      <c r="I58" s="1051"/>
      <c r="J58" s="159"/>
      <c r="L58" s="13"/>
      <c r="M58" s="5"/>
      <c r="N58" s="5"/>
      <c r="O58" s="177"/>
      <c r="P58" s="14"/>
    </row>
    <row r="59" spans="1:16" x14ac:dyDescent="0.2">
      <c r="A59" s="203">
        <f>IF(Fischzuchtanlage!C109&gt;0,IF((Fischzuchtanlage!C108+Fischzuchtanlage!C107)&gt;0,IF(Fischzuchtanlage!C110&lt;11,1,0),0),0)</f>
        <v>0</v>
      </c>
      <c r="B59" s="1050" t="str">
        <f>INDEX(Texte,166,Fischzuchtanlage!$N$2)</f>
        <v>Die Einleitung des Abwassers ist so eher nicht möglich. Reduzieren Sie die Belastung durch weitergehende Massnahmen (siehe Hinweise).</v>
      </c>
      <c r="C59" s="1066"/>
      <c r="D59" s="1066"/>
      <c r="E59" s="1066"/>
      <c r="F59" s="1066"/>
      <c r="G59" s="1066"/>
      <c r="H59" s="1066"/>
      <c r="I59" s="1051"/>
      <c r="J59" s="159"/>
      <c r="L59" s="178" t="s">
        <v>718</v>
      </c>
      <c r="M59" s="5"/>
      <c r="N59" s="5"/>
      <c r="O59" s="177"/>
      <c r="P59" s="14"/>
    </row>
    <row r="60" spans="1:16" ht="13.5" thickBot="1" x14ac:dyDescent="0.25">
      <c r="A60" s="203">
        <f>IF(Fischzuchtanlage!C109&gt;0,IF(Fischzuchtanlage!C108=0,IF(Gewaesserbelastung!A70=11,1,0),0),0)</f>
        <v>0</v>
      </c>
      <c r="B60" s="1050" t="str">
        <f>INDEX(Texte,167,Fischzuchtanlage!$N$2)</f>
        <v>Die Belastung liegt im kritischen Bereich, bitte mit uwe vor Einreichung des Gesuchs abklären, ob eine Einleitung allenfalls möglich ist.</v>
      </c>
      <c r="C60" s="1066"/>
      <c r="D60" s="1066"/>
      <c r="E60" s="1066"/>
      <c r="F60" s="1066"/>
      <c r="G60" s="1066"/>
      <c r="H60" s="1066"/>
      <c r="I60" s="1051"/>
      <c r="J60" s="5"/>
      <c r="L60" s="13"/>
      <c r="M60" s="5"/>
      <c r="N60" s="5"/>
      <c r="O60" s="177"/>
      <c r="P60" s="14"/>
    </row>
    <row r="61" spans="1:16" x14ac:dyDescent="0.2">
      <c r="A61" s="203">
        <f>IF(Fischzuchtanlage!C109&gt;0,IF(Fischzuchtanlage!C108&gt;0,1,0),0)</f>
        <v>0</v>
      </c>
      <c r="B61" s="1050" t="str">
        <f>INDEX(Texte,168,Fischzuchtanlage!$N$2)</f>
        <v>Die Einleitung des Abwassers in das Gewässer ist so nicht möglich.</v>
      </c>
      <c r="C61" s="1066"/>
      <c r="D61" s="1066"/>
      <c r="E61" s="1066"/>
      <c r="F61" s="1066"/>
      <c r="G61" s="1066"/>
      <c r="H61" s="1066"/>
      <c r="I61" s="1051"/>
      <c r="J61" s="41"/>
      <c r="L61" s="134" t="s">
        <v>264</v>
      </c>
      <c r="M61" s="135" t="s">
        <v>265</v>
      </c>
      <c r="N61" s="136" t="s">
        <v>266</v>
      </c>
      <c r="O61" s="136" t="s">
        <v>267</v>
      </c>
      <c r="P61" s="158" t="s">
        <v>268</v>
      </c>
    </row>
    <row r="62" spans="1:16" ht="13.5" thickBot="1" x14ac:dyDescent="0.25">
      <c r="J62" s="159"/>
      <c r="L62" s="138" t="s">
        <v>269</v>
      </c>
      <c r="M62" s="176" t="s">
        <v>278</v>
      </c>
      <c r="N62" s="140" t="s">
        <v>269</v>
      </c>
      <c r="O62" s="141"/>
      <c r="P62" s="160"/>
    </row>
    <row r="63" spans="1:16" x14ac:dyDescent="0.2">
      <c r="A63" s="447" t="s">
        <v>907</v>
      </c>
      <c r="B63" s="41" t="s">
        <v>909</v>
      </c>
      <c r="J63" s="159"/>
      <c r="L63" s="55">
        <v>0</v>
      </c>
      <c r="M63" s="172">
        <v>0.04</v>
      </c>
      <c r="N63" s="146"/>
      <c r="O63" s="136" t="str">
        <f>INDEX(Texte,88,Fischzuchtanlage!$N$2)</f>
        <v>sehr gut</v>
      </c>
      <c r="P63" s="173">
        <v>1</v>
      </c>
    </row>
    <row r="64" spans="1:16" x14ac:dyDescent="0.2">
      <c r="A64" s="203">
        <f>IF(Fischzuchtanlage!C18=1,Fischzuchtanlage!C69,4)</f>
        <v>4</v>
      </c>
      <c r="B64" s="1050" t="str">
        <f>INDEX(Texte,160,Fischzuchtanlage!$N$2)</f>
        <v>Sie können die Schlammentfernung optimieren, die Wirkung nimmt von a) nach d) zu (Ziffer 4).</v>
      </c>
      <c r="C64" s="1066"/>
      <c r="D64" s="1066"/>
      <c r="E64" s="1066"/>
      <c r="F64" s="1066"/>
      <c r="G64" s="1066"/>
      <c r="H64" s="1066"/>
      <c r="I64" s="1051"/>
      <c r="J64" s="159"/>
      <c r="L64" s="49">
        <v>0.04</v>
      </c>
      <c r="M64" s="174">
        <v>7.0000000000000007E-2</v>
      </c>
      <c r="N64" s="149">
        <v>5.5E-2</v>
      </c>
      <c r="O64" s="50" t="str">
        <f>INDEX(Texte,89,Fischzuchtanlage!$N$2)</f>
        <v>gut</v>
      </c>
      <c r="P64" s="150">
        <v>2</v>
      </c>
    </row>
    <row r="65" spans="1:16" x14ac:dyDescent="0.2">
      <c r="A65" s="203">
        <f>IF(Fischzuchtanlage!C18=1,Fischzuchtanlage!C70,1)</f>
        <v>1</v>
      </c>
      <c r="B65" s="1050" t="str">
        <f>INDEX(Texte,161,Fischzuchtanlage!$N$2)</f>
        <v>Entwässern Sie den abgetrennten Schlamm mit einem Lamellenklärer oder ähnlichem (unter Ziffer 4).</v>
      </c>
      <c r="C65" s="1066"/>
      <c r="D65" s="1066"/>
      <c r="E65" s="1066"/>
      <c r="F65" s="1066"/>
      <c r="G65" s="1066"/>
      <c r="H65" s="1066"/>
      <c r="I65" s="1051"/>
      <c r="L65" s="49">
        <v>7.0000000000000007E-2</v>
      </c>
      <c r="M65" s="174">
        <v>0.1</v>
      </c>
      <c r="N65" s="149">
        <v>8.5000000000000006E-2</v>
      </c>
      <c r="O65" s="50" t="str">
        <f>INDEX(Texte,90,Fischzuchtanlage!$N$2)</f>
        <v>mässig</v>
      </c>
      <c r="P65" s="150">
        <v>3</v>
      </c>
    </row>
    <row r="66" spans="1:16" x14ac:dyDescent="0.2">
      <c r="A66" s="203">
        <f>IF(Fischzuchtanlage!C18=3,Fischzuchtanlage!C79,2)</f>
        <v>1</v>
      </c>
      <c r="B66" s="1050" t="str">
        <f>INDEX(Texte,162,Fischzuchtanlage!$N$2)</f>
        <v>Bei Kreislaufanlagen können Sie eine Phosphor-Fällung durchführen.</v>
      </c>
      <c r="C66" s="1066"/>
      <c r="D66" s="1066"/>
      <c r="E66" s="1066"/>
      <c r="F66" s="1066"/>
      <c r="G66" s="1066"/>
      <c r="H66" s="1066"/>
      <c r="I66" s="1051"/>
      <c r="L66" s="49">
        <v>0.1</v>
      </c>
      <c r="M66" s="174">
        <v>0.14000000000000001</v>
      </c>
      <c r="N66" s="149">
        <v>0.12</v>
      </c>
      <c r="O66" s="50" t="str">
        <f>INDEX(Texte,91,Fischzuchtanlage!$N$2)</f>
        <v>unbefriedigend</v>
      </c>
      <c r="P66" s="150">
        <v>4</v>
      </c>
    </row>
    <row r="67" spans="1:16" ht="13.5" thickBot="1" x14ac:dyDescent="0.25">
      <c r="A67" s="205">
        <f>IF(Fischzuchtanlage!C18=2,3,Fischzuchtanlage!C80)</f>
        <v>1</v>
      </c>
      <c r="B67" s="1050" t="str">
        <f>INDEX(Texte,163,Fischzuchtanlage!$N$2)</f>
        <v>Sie können eine Nachbehandlung des Abwassers durchführen, die Wirkung nimmt von a) nach c) zu.</v>
      </c>
      <c r="C67" s="1066"/>
      <c r="D67" s="1066"/>
      <c r="E67" s="1066"/>
      <c r="F67" s="1066"/>
      <c r="G67" s="1066"/>
      <c r="H67" s="1066"/>
      <c r="I67" s="1051"/>
      <c r="L67" s="56">
        <v>0.14000000000000001</v>
      </c>
      <c r="M67" s="175">
        <v>100</v>
      </c>
      <c r="N67" s="140"/>
      <c r="O67" s="141" t="str">
        <f>INDEX(Texte,92,Fischzuchtanlage!$N$2)</f>
        <v>schlecht</v>
      </c>
      <c r="P67" s="154">
        <v>5</v>
      </c>
    </row>
    <row r="68" spans="1:16" ht="13.5" thickBot="1" x14ac:dyDescent="0.25">
      <c r="A68" s="204"/>
      <c r="B68" s="1050" t="str">
        <f>INDEX(Texte,164,Fischzuchtanlage!$N$2)</f>
        <v>Prüfen Sie, ob eine Einleitung in einen grösseren Bach möglich ist.</v>
      </c>
      <c r="C68" s="1066"/>
      <c r="D68" s="1066"/>
      <c r="E68" s="1066"/>
      <c r="F68" s="1066"/>
      <c r="G68" s="1066"/>
      <c r="H68" s="1066"/>
      <c r="I68" s="1051"/>
      <c r="L68" s="165">
        <v>0.14099999999999999</v>
      </c>
      <c r="M68" s="115"/>
      <c r="N68" s="115"/>
      <c r="O68" s="156" t="str">
        <f>INDEX(Texte,93,Fischzuchtanlage!$N$2)</f>
        <v>zu schlecht</v>
      </c>
      <c r="P68" s="166">
        <v>6</v>
      </c>
    </row>
    <row r="69" spans="1:16" x14ac:dyDescent="0.2">
      <c r="A69" s="739">
        <f>IF(A65=2,1,2)</f>
        <v>2</v>
      </c>
      <c r="B69" s="738" t="s">
        <v>913</v>
      </c>
    </row>
    <row r="70" spans="1:16" ht="13.5" thickBot="1" x14ac:dyDescent="0.25">
      <c r="A70" s="449">
        <f>A64+A69+A66+A67</f>
        <v>8</v>
      </c>
      <c r="B70" s="450" t="s">
        <v>916</v>
      </c>
      <c r="C70" s="451"/>
      <c r="L70" s="128" t="s">
        <v>280</v>
      </c>
    </row>
    <row r="71" spans="1:16" x14ac:dyDescent="0.2">
      <c r="L71" s="179" t="s">
        <v>281</v>
      </c>
      <c r="M71" s="180"/>
      <c r="N71" s="180"/>
      <c r="O71" s="181"/>
    </row>
    <row r="72" spans="1:16" x14ac:dyDescent="0.2">
      <c r="I72" s="1064" t="s">
        <v>743</v>
      </c>
      <c r="J72" s="1064"/>
      <c r="K72" s="1065"/>
      <c r="L72" s="184" t="s">
        <v>282</v>
      </c>
      <c r="M72" s="185"/>
      <c r="N72" s="185"/>
      <c r="O72" s="186" t="s">
        <v>283</v>
      </c>
    </row>
    <row r="73" spans="1:16" ht="13.5" thickBot="1" x14ac:dyDescent="0.25">
      <c r="A73" s="94" t="s">
        <v>912</v>
      </c>
      <c r="B73" s="127"/>
      <c r="C73" s="182"/>
      <c r="G73" s="183"/>
      <c r="H73" s="183"/>
      <c r="I73" s="41"/>
      <c r="J73" s="41"/>
      <c r="K73" s="744">
        <v>0.5</v>
      </c>
      <c r="L73" s="184" t="s">
        <v>284</v>
      </c>
      <c r="M73" s="188" t="s">
        <v>66</v>
      </c>
      <c r="N73" s="188"/>
      <c r="O73" s="186" t="s">
        <v>284</v>
      </c>
    </row>
    <row r="74" spans="1:16" x14ac:dyDescent="0.2">
      <c r="A74" s="41" t="s">
        <v>908</v>
      </c>
      <c r="C74" s="127"/>
      <c r="F74" s="5"/>
      <c r="G74" s="452" t="s">
        <v>910</v>
      </c>
      <c r="H74" s="187"/>
      <c r="I74" s="41"/>
      <c r="J74" s="41"/>
      <c r="K74" s="41"/>
      <c r="L74" s="189">
        <f>K73*O74</f>
        <v>1</v>
      </c>
      <c r="M74" s="185" t="s">
        <v>255</v>
      </c>
      <c r="N74" s="185"/>
      <c r="O74" s="190">
        <v>2</v>
      </c>
    </row>
    <row r="75" spans="1:16" x14ac:dyDescent="0.2">
      <c r="A75" s="41" t="s">
        <v>904</v>
      </c>
      <c r="C75" s="127"/>
      <c r="F75" s="5"/>
      <c r="G75" s="452" t="s">
        <v>910</v>
      </c>
      <c r="I75" s="1064" t="s">
        <v>744</v>
      </c>
      <c r="J75" s="1064"/>
      <c r="K75" s="1065"/>
      <c r="L75" s="189">
        <f>K73*O75</f>
        <v>0.5</v>
      </c>
      <c r="M75" s="185" t="s">
        <v>255</v>
      </c>
      <c r="N75" s="191" t="s">
        <v>285</v>
      </c>
      <c r="O75" s="190">
        <v>1</v>
      </c>
    </row>
    <row r="76" spans="1:16" ht="13.5" thickBot="1" x14ac:dyDescent="0.25">
      <c r="A76" s="41" t="s">
        <v>905</v>
      </c>
      <c r="F76" s="5"/>
      <c r="G76" s="183" t="s">
        <v>910</v>
      </c>
      <c r="H76" s="183"/>
      <c r="I76" s="41"/>
      <c r="J76" s="41"/>
      <c r="K76" s="744">
        <v>1</v>
      </c>
      <c r="L76" s="189">
        <f>K73*O76</f>
        <v>0.05</v>
      </c>
      <c r="M76" s="192" t="s">
        <v>286</v>
      </c>
      <c r="N76" s="185"/>
      <c r="O76" s="190">
        <v>0.1</v>
      </c>
    </row>
    <row r="77" spans="1:16" x14ac:dyDescent="0.2">
      <c r="A77" s="41" t="s">
        <v>906</v>
      </c>
      <c r="F77" s="5"/>
      <c r="G77" s="452" t="s">
        <v>918</v>
      </c>
      <c r="H77" s="187"/>
      <c r="L77" s="189">
        <f>K73*O77</f>
        <v>1.75</v>
      </c>
      <c r="M77" s="192" t="s">
        <v>232</v>
      </c>
      <c r="N77" s="185"/>
      <c r="O77" s="190">
        <v>3.5</v>
      </c>
    </row>
    <row r="78" spans="1:16" x14ac:dyDescent="0.2">
      <c r="A78" s="41" t="s">
        <v>911</v>
      </c>
      <c r="F78" s="5"/>
      <c r="G78" s="13"/>
      <c r="L78" s="193">
        <f>K73*O78</f>
        <v>1.2500000000000001E-2</v>
      </c>
      <c r="M78" s="192" t="s">
        <v>287</v>
      </c>
      <c r="N78" s="185"/>
      <c r="O78" s="190">
        <v>2.5000000000000001E-2</v>
      </c>
    </row>
    <row r="79" spans="1:16" ht="13.5" thickBot="1" x14ac:dyDescent="0.25">
      <c r="L79" s="194">
        <f>K73*O79</f>
        <v>1.7500000000000002E-2</v>
      </c>
      <c r="M79" s="195" t="s">
        <v>719</v>
      </c>
      <c r="N79" s="196"/>
      <c r="O79" s="197">
        <v>3.5000000000000003E-2</v>
      </c>
    </row>
    <row r="85" spans="1:16" x14ac:dyDescent="0.2">
      <c r="L85" s="128" t="s">
        <v>288</v>
      </c>
    </row>
    <row r="86" spans="1:16" x14ac:dyDescent="0.2">
      <c r="L86" s="54" t="s">
        <v>289</v>
      </c>
    </row>
    <row r="87" spans="1:16" ht="13.5" thickBot="1" x14ac:dyDescent="0.25">
      <c r="A87" s="13"/>
      <c r="L87" s="198" t="s">
        <v>290</v>
      </c>
    </row>
    <row r="88" spans="1:16" x14ac:dyDescent="0.2">
      <c r="A88" s="13"/>
      <c r="B88" s="127"/>
      <c r="L88" s="199" t="s">
        <v>103</v>
      </c>
      <c r="M88" s="199" t="s">
        <v>291</v>
      </c>
      <c r="N88" s="199" t="s">
        <v>292</v>
      </c>
      <c r="O88" s="164"/>
      <c r="P88" s="136"/>
    </row>
    <row r="89" spans="1:16" x14ac:dyDescent="0.2">
      <c r="A89" s="13"/>
      <c r="L89" s="49"/>
      <c r="M89" s="49" t="s">
        <v>293</v>
      </c>
      <c r="N89" s="49"/>
      <c r="O89" s="5"/>
      <c r="P89" s="50"/>
    </row>
    <row r="90" spans="1:16" ht="13.5" thickBot="1" x14ac:dyDescent="0.25">
      <c r="L90" s="56"/>
      <c r="M90" s="200" t="s">
        <v>294</v>
      </c>
      <c r="N90" s="56"/>
      <c r="O90" s="155"/>
      <c r="P90" s="141"/>
    </row>
    <row r="91" spans="1:16" x14ac:dyDescent="0.2">
      <c r="L91" s="49" t="s">
        <v>295</v>
      </c>
      <c r="M91" s="49">
        <v>15</v>
      </c>
      <c r="N91" s="49"/>
      <c r="O91" s="5"/>
      <c r="P91" s="50"/>
    </row>
    <row r="92" spans="1:16" x14ac:dyDescent="0.2">
      <c r="L92" s="49" t="s">
        <v>43</v>
      </c>
      <c r="M92" s="49">
        <v>30</v>
      </c>
      <c r="N92" s="201" t="s">
        <v>296</v>
      </c>
      <c r="O92" s="5"/>
      <c r="P92" s="50"/>
    </row>
    <row r="93" spans="1:16" ht="13.5" thickBot="1" x14ac:dyDescent="0.25">
      <c r="L93" s="56" t="s">
        <v>43</v>
      </c>
      <c r="M93" s="56">
        <v>10</v>
      </c>
      <c r="N93" s="202" t="s">
        <v>297</v>
      </c>
      <c r="O93" s="155"/>
      <c r="P93" s="141"/>
    </row>
    <row r="94" spans="1:16" x14ac:dyDescent="0.2">
      <c r="A94" s="127"/>
    </row>
    <row r="95" spans="1:16" x14ac:dyDescent="0.2">
      <c r="A95" s="127"/>
    </row>
    <row r="96" spans="1:16" x14ac:dyDescent="0.2">
      <c r="A96" s="127"/>
    </row>
  </sheetData>
  <sheetProtection password="D65F" sheet="1" objects="1" scenarios="1"/>
  <customSheetViews>
    <customSheetView guid="{2A376E74-9008-4CC4-AF78-5E9088D4FA1D}" state="hidden">
      <pageMargins left="0.7" right="0.7" top="0.78740157499999996" bottom="0.78740157499999996" header="0.3" footer="0.3"/>
      <pageSetup paperSize="9" orientation="portrait" horizontalDpi="4294967293" verticalDpi="0" r:id="rId1"/>
    </customSheetView>
  </customSheetViews>
  <mergeCells count="20">
    <mergeCell ref="G28:H28"/>
    <mergeCell ref="G29:H29"/>
    <mergeCell ref="G30:H30"/>
    <mergeCell ref="G27:H27"/>
    <mergeCell ref="D28:E28"/>
    <mergeCell ref="D29:E29"/>
    <mergeCell ref="D30:E30"/>
    <mergeCell ref="D31:E31"/>
    <mergeCell ref="D32:E32"/>
    <mergeCell ref="I72:K72"/>
    <mergeCell ref="I75:K75"/>
    <mergeCell ref="B58:I58"/>
    <mergeCell ref="B61:I61"/>
    <mergeCell ref="B64:I64"/>
    <mergeCell ref="B59:I59"/>
    <mergeCell ref="B60:I60"/>
    <mergeCell ref="B65:I65"/>
    <mergeCell ref="B66:I66"/>
    <mergeCell ref="B67:I67"/>
    <mergeCell ref="B68:I68"/>
  </mergeCells>
  <pageMargins left="0.7" right="0.7" top="0.78740157499999996" bottom="0.78740157499999996" header="0.3" footer="0.3"/>
  <pageSetup paperSize="9" orientation="portrait" horizontalDpi="4294967293"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WVO272"/>
  <sheetViews>
    <sheetView workbookViewId="0"/>
  </sheetViews>
  <sheetFormatPr baseColWidth="10" defaultColWidth="0" defaultRowHeight="12.75" zeroHeight="1" x14ac:dyDescent="0.2"/>
  <cols>
    <col min="1" max="1" width="11.42578125" style="780" customWidth="1"/>
    <col min="2" max="2" width="59.140625" style="127" customWidth="1"/>
    <col min="3" max="5" width="11.42578125" style="127" customWidth="1"/>
    <col min="6" max="6" width="5.7109375" style="127" customWidth="1"/>
    <col min="7" max="9" width="11.42578125" style="31" customWidth="1"/>
    <col min="10" max="10" width="2.42578125" style="780" customWidth="1"/>
    <col min="11" max="256" width="11.42578125" style="31" hidden="1"/>
    <col min="257" max="257" width="5.7109375" style="31" hidden="1"/>
    <col min="258" max="258" width="59.140625" style="31" hidden="1"/>
    <col min="259" max="261" width="11.42578125" style="31" hidden="1"/>
    <col min="262" max="262" width="5.7109375" style="31" hidden="1"/>
    <col min="263" max="512" width="11.42578125" style="31" hidden="1"/>
    <col min="513" max="513" width="5.7109375" style="31" hidden="1"/>
    <col min="514" max="514" width="59.140625" style="31" hidden="1"/>
    <col min="515" max="517" width="11.42578125" style="31" hidden="1"/>
    <col min="518" max="518" width="5.7109375" style="31" hidden="1"/>
    <col min="519" max="768" width="11.42578125" style="31" hidden="1"/>
    <col min="769" max="769" width="5.7109375" style="31" hidden="1"/>
    <col min="770" max="770" width="59.140625" style="31" hidden="1"/>
    <col min="771" max="773" width="11.42578125" style="31" hidden="1"/>
    <col min="774" max="774" width="5.7109375" style="31" hidden="1"/>
    <col min="775" max="1025" width="11.42578125" style="31" hidden="1"/>
    <col min="1026" max="1026" width="59.140625" style="31" hidden="1"/>
    <col min="1027" max="1029" width="11.42578125" style="31" hidden="1"/>
    <col min="1030" max="1030" width="5.7109375" style="31" hidden="1"/>
    <col min="1031" max="1280" width="11.42578125" style="31" hidden="1"/>
    <col min="1281" max="1281" width="5.7109375" style="31" hidden="1"/>
    <col min="1282" max="1282" width="59.140625" style="31" hidden="1"/>
    <col min="1283" max="1285" width="11.42578125" style="31" hidden="1"/>
    <col min="1286" max="1286" width="5.7109375" style="31" hidden="1"/>
    <col min="1287" max="1536" width="11.42578125" style="31" hidden="1"/>
    <col min="1537" max="1537" width="5.7109375" style="31" hidden="1"/>
    <col min="1538" max="1538" width="59.140625" style="31" hidden="1"/>
    <col min="1539" max="1541" width="11.42578125" style="31" hidden="1"/>
    <col min="1542" max="1542" width="5.7109375" style="31" hidden="1"/>
    <col min="1543" max="1792" width="11.42578125" style="31" hidden="1"/>
    <col min="1793" max="1793" width="5.7109375" style="31" hidden="1"/>
    <col min="1794" max="1794" width="59.140625" style="31" hidden="1"/>
    <col min="1795" max="1797" width="11.42578125" style="31" hidden="1"/>
    <col min="1798" max="1798" width="5.7109375" style="31" hidden="1"/>
    <col min="1799" max="2049" width="11.42578125" style="31" hidden="1"/>
    <col min="2050" max="2050" width="59.140625" style="31" hidden="1"/>
    <col min="2051" max="2053" width="11.42578125" style="31" hidden="1"/>
    <col min="2054" max="2054" width="5.7109375" style="31" hidden="1"/>
    <col min="2055" max="2304" width="11.42578125" style="31" hidden="1"/>
    <col min="2305" max="2305" width="5.7109375" style="31" hidden="1"/>
    <col min="2306" max="2306" width="59.140625" style="31" hidden="1"/>
    <col min="2307" max="2309" width="11.42578125" style="31" hidden="1"/>
    <col min="2310" max="2310" width="5.7109375" style="31" hidden="1"/>
    <col min="2311" max="2560" width="11.42578125" style="31" hidden="1"/>
    <col min="2561" max="2561" width="5.7109375" style="31" hidden="1"/>
    <col min="2562" max="2562" width="59.140625" style="31" hidden="1"/>
    <col min="2563" max="2565" width="11.42578125" style="31" hidden="1"/>
    <col min="2566" max="2566" width="5.7109375" style="31" hidden="1"/>
    <col min="2567" max="2816" width="11.42578125" style="31" hidden="1"/>
    <col min="2817" max="2817" width="5.7109375" style="31" hidden="1"/>
    <col min="2818" max="2818" width="59.140625" style="31" hidden="1"/>
    <col min="2819" max="2821" width="11.42578125" style="31" hidden="1"/>
    <col min="2822" max="2822" width="5.7109375" style="31" hidden="1"/>
    <col min="2823" max="3073" width="11.42578125" style="31" hidden="1"/>
    <col min="3074" max="3074" width="59.140625" style="31" hidden="1"/>
    <col min="3075" max="3077" width="11.42578125" style="31" hidden="1"/>
    <col min="3078" max="3078" width="5.7109375" style="31" hidden="1"/>
    <col min="3079" max="3328" width="11.42578125" style="31" hidden="1"/>
    <col min="3329" max="3329" width="5.7109375" style="31" hidden="1"/>
    <col min="3330" max="3330" width="59.140625" style="31" hidden="1"/>
    <col min="3331" max="3333" width="11.42578125" style="31" hidden="1"/>
    <col min="3334" max="3334" width="5.7109375" style="31" hidden="1"/>
    <col min="3335" max="3584" width="11.42578125" style="31" hidden="1"/>
    <col min="3585" max="3585" width="5.7109375" style="31" hidden="1"/>
    <col min="3586" max="3586" width="59.140625" style="31" hidden="1"/>
    <col min="3587" max="3589" width="11.42578125" style="31" hidden="1"/>
    <col min="3590" max="3590" width="5.7109375" style="31" hidden="1"/>
    <col min="3591" max="3840" width="11.42578125" style="31" hidden="1"/>
    <col min="3841" max="3841" width="5.7109375" style="31" hidden="1"/>
    <col min="3842" max="3842" width="59.140625" style="31" hidden="1"/>
    <col min="3843" max="3845" width="11.42578125" style="31" hidden="1"/>
    <col min="3846" max="3846" width="5.7109375" style="31" hidden="1"/>
    <col min="3847" max="4097" width="11.42578125" style="31" hidden="1"/>
    <col min="4098" max="4098" width="59.140625" style="31" hidden="1"/>
    <col min="4099" max="4101" width="11.42578125" style="31" hidden="1"/>
    <col min="4102" max="4102" width="5.7109375" style="31" hidden="1"/>
    <col min="4103" max="4352" width="11.42578125" style="31" hidden="1"/>
    <col min="4353" max="4353" width="5.7109375" style="31" hidden="1"/>
    <col min="4354" max="4354" width="59.140625" style="31" hidden="1"/>
    <col min="4355" max="4357" width="11.42578125" style="31" hidden="1"/>
    <col min="4358" max="4358" width="5.7109375" style="31" hidden="1"/>
    <col min="4359" max="4608" width="11.42578125" style="31" hidden="1"/>
    <col min="4609" max="4609" width="5.7109375" style="31" hidden="1"/>
    <col min="4610" max="4610" width="59.140625" style="31" hidden="1"/>
    <col min="4611" max="4613" width="11.42578125" style="31" hidden="1"/>
    <col min="4614" max="4614" width="5.7109375" style="31" hidden="1"/>
    <col min="4615" max="4864" width="11.42578125" style="31" hidden="1"/>
    <col min="4865" max="4865" width="5.7109375" style="31" hidden="1"/>
    <col min="4866" max="4866" width="59.140625" style="31" hidden="1"/>
    <col min="4867" max="4869" width="11.42578125" style="31" hidden="1"/>
    <col min="4870" max="4870" width="5.7109375" style="31" hidden="1"/>
    <col min="4871" max="5121" width="11.42578125" style="31" hidden="1"/>
    <col min="5122" max="5122" width="59.140625" style="31" hidden="1"/>
    <col min="5123" max="5125" width="11.42578125" style="31" hidden="1"/>
    <col min="5126" max="5126" width="5.7109375" style="31" hidden="1"/>
    <col min="5127" max="5376" width="11.42578125" style="31" hidden="1"/>
    <col min="5377" max="5377" width="5.7109375" style="31" hidden="1"/>
    <col min="5378" max="5378" width="59.140625" style="31" hidden="1"/>
    <col min="5379" max="5381" width="11.42578125" style="31" hidden="1"/>
    <col min="5382" max="5382" width="5.7109375" style="31" hidden="1"/>
    <col min="5383" max="5632" width="11.42578125" style="31" hidden="1"/>
    <col min="5633" max="5633" width="5.7109375" style="31" hidden="1"/>
    <col min="5634" max="5634" width="59.140625" style="31" hidden="1"/>
    <col min="5635" max="5637" width="11.42578125" style="31" hidden="1"/>
    <col min="5638" max="5638" width="5.7109375" style="31" hidden="1"/>
    <col min="5639" max="5888" width="11.42578125" style="31" hidden="1"/>
    <col min="5889" max="5889" width="5.7109375" style="31" hidden="1"/>
    <col min="5890" max="5890" width="59.140625" style="31" hidden="1"/>
    <col min="5891" max="5893" width="11.42578125" style="31" hidden="1"/>
    <col min="5894" max="5894" width="5.7109375" style="31" hidden="1"/>
    <col min="5895" max="6145" width="11.42578125" style="31" hidden="1"/>
    <col min="6146" max="6146" width="59.140625" style="31" hidden="1"/>
    <col min="6147" max="6149" width="11.42578125" style="31" hidden="1"/>
    <col min="6150" max="6150" width="5.7109375" style="31" hidden="1"/>
    <col min="6151" max="6400" width="11.42578125" style="31" hidden="1"/>
    <col min="6401" max="6401" width="5.7109375" style="31" hidden="1"/>
    <col min="6402" max="6402" width="59.140625" style="31" hidden="1"/>
    <col min="6403" max="6405" width="11.42578125" style="31" hidden="1"/>
    <col min="6406" max="6406" width="5.7109375" style="31" hidden="1"/>
    <col min="6407" max="6656" width="11.42578125" style="31" hidden="1"/>
    <col min="6657" max="6657" width="5.7109375" style="31" hidden="1"/>
    <col min="6658" max="6658" width="59.140625" style="31" hidden="1"/>
    <col min="6659" max="6661" width="11.42578125" style="31" hidden="1"/>
    <col min="6662" max="6662" width="5.7109375" style="31" hidden="1"/>
    <col min="6663" max="6912" width="11.42578125" style="31" hidden="1"/>
    <col min="6913" max="6913" width="5.7109375" style="31" hidden="1"/>
    <col min="6914" max="6914" width="59.140625" style="31" hidden="1"/>
    <col min="6915" max="6917" width="11.42578125" style="31" hidden="1"/>
    <col min="6918" max="6918" width="5.7109375" style="31" hidden="1"/>
    <col min="6919" max="7169" width="11.42578125" style="31" hidden="1"/>
    <col min="7170" max="7170" width="59.140625" style="31" hidden="1"/>
    <col min="7171" max="7173" width="11.42578125" style="31" hidden="1"/>
    <col min="7174" max="7174" width="5.7109375" style="31" hidden="1"/>
    <col min="7175" max="7424" width="11.42578125" style="31" hidden="1"/>
    <col min="7425" max="7425" width="5.7109375" style="31" hidden="1"/>
    <col min="7426" max="7426" width="59.140625" style="31" hidden="1"/>
    <col min="7427" max="7429" width="11.42578125" style="31" hidden="1"/>
    <col min="7430" max="7430" width="5.7109375" style="31" hidden="1"/>
    <col min="7431" max="7680" width="11.42578125" style="31" hidden="1"/>
    <col min="7681" max="7681" width="5.7109375" style="31" hidden="1"/>
    <col min="7682" max="7682" width="59.140625" style="31" hidden="1"/>
    <col min="7683" max="7685" width="11.42578125" style="31" hidden="1"/>
    <col min="7686" max="7686" width="5.7109375" style="31" hidden="1"/>
    <col min="7687" max="7936" width="11.42578125" style="31" hidden="1"/>
    <col min="7937" max="7937" width="5.7109375" style="31" hidden="1"/>
    <col min="7938" max="7938" width="59.140625" style="31" hidden="1"/>
    <col min="7939" max="7941" width="11.42578125" style="31" hidden="1"/>
    <col min="7942" max="7942" width="5.7109375" style="31" hidden="1"/>
    <col min="7943" max="8193" width="11.42578125" style="31" hidden="1"/>
    <col min="8194" max="8194" width="59.140625" style="31" hidden="1"/>
    <col min="8195" max="8197" width="11.42578125" style="31" hidden="1"/>
    <col min="8198" max="8198" width="5.7109375" style="31" hidden="1"/>
    <col min="8199" max="8448" width="11.42578125" style="31" hidden="1"/>
    <col min="8449" max="8449" width="5.7109375" style="31" hidden="1"/>
    <col min="8450" max="8450" width="59.140625" style="31" hidden="1"/>
    <col min="8451" max="8453" width="11.42578125" style="31" hidden="1"/>
    <col min="8454" max="8454" width="5.7109375" style="31" hidden="1"/>
    <col min="8455" max="8704" width="11.42578125" style="31" hidden="1"/>
    <col min="8705" max="8705" width="5.7109375" style="31" hidden="1"/>
    <col min="8706" max="8706" width="59.140625" style="31" hidden="1"/>
    <col min="8707" max="8709" width="11.42578125" style="31" hidden="1"/>
    <col min="8710" max="8710" width="5.7109375" style="31" hidden="1"/>
    <col min="8711" max="8960" width="11.42578125" style="31" hidden="1"/>
    <col min="8961" max="8961" width="5.7109375" style="31" hidden="1"/>
    <col min="8962" max="8962" width="59.140625" style="31" hidden="1"/>
    <col min="8963" max="8965" width="11.42578125" style="31" hidden="1"/>
    <col min="8966" max="8966" width="5.7109375" style="31" hidden="1"/>
    <col min="8967" max="9217" width="11.42578125" style="31" hidden="1"/>
    <col min="9218" max="9218" width="59.140625" style="31" hidden="1"/>
    <col min="9219" max="9221" width="11.42578125" style="31" hidden="1"/>
    <col min="9222" max="9222" width="5.7109375" style="31" hidden="1"/>
    <col min="9223" max="9472" width="11.42578125" style="31" hidden="1"/>
    <col min="9473" max="9473" width="5.7109375" style="31" hidden="1"/>
    <col min="9474" max="9474" width="59.140625" style="31" hidden="1"/>
    <col min="9475" max="9477" width="11.42578125" style="31" hidden="1"/>
    <col min="9478" max="9478" width="5.7109375" style="31" hidden="1"/>
    <col min="9479" max="9728" width="11.42578125" style="31" hidden="1"/>
    <col min="9729" max="9729" width="5.7109375" style="31" hidden="1"/>
    <col min="9730" max="9730" width="59.140625" style="31" hidden="1"/>
    <col min="9731" max="9733" width="11.42578125" style="31" hidden="1"/>
    <col min="9734" max="9734" width="5.7109375" style="31" hidden="1"/>
    <col min="9735" max="9984" width="11.42578125" style="31" hidden="1"/>
    <col min="9985" max="9985" width="5.7109375" style="31" hidden="1"/>
    <col min="9986" max="9986" width="59.140625" style="31" hidden="1"/>
    <col min="9987" max="9989" width="11.42578125" style="31" hidden="1"/>
    <col min="9990" max="9990" width="5.7109375" style="31" hidden="1"/>
    <col min="9991" max="10241" width="11.42578125" style="31" hidden="1"/>
    <col min="10242" max="10242" width="59.140625" style="31" hidden="1"/>
    <col min="10243" max="10245" width="11.42578125" style="31" hidden="1"/>
    <col min="10246" max="10246" width="5.7109375" style="31" hidden="1"/>
    <col min="10247" max="10496" width="11.42578125" style="31" hidden="1"/>
    <col min="10497" max="10497" width="5.7109375" style="31" hidden="1"/>
    <col min="10498" max="10498" width="59.140625" style="31" hidden="1"/>
    <col min="10499" max="10501" width="11.42578125" style="31" hidden="1"/>
    <col min="10502" max="10502" width="5.7109375" style="31" hidden="1"/>
    <col min="10503" max="10752" width="11.42578125" style="31" hidden="1"/>
    <col min="10753" max="10753" width="5.7109375" style="31" hidden="1"/>
    <col min="10754" max="10754" width="59.140625" style="31" hidden="1"/>
    <col min="10755" max="10757" width="11.42578125" style="31" hidden="1"/>
    <col min="10758" max="10758" width="5.7109375" style="31" hidden="1"/>
    <col min="10759" max="11008" width="11.42578125" style="31" hidden="1"/>
    <col min="11009" max="11009" width="5.7109375" style="31" hidden="1"/>
    <col min="11010" max="11010" width="59.140625" style="31" hidden="1"/>
    <col min="11011" max="11013" width="11.42578125" style="31" hidden="1"/>
    <col min="11014" max="11014" width="5.7109375" style="31" hidden="1"/>
    <col min="11015" max="11265" width="11.42578125" style="31" hidden="1"/>
    <col min="11266" max="11266" width="59.140625" style="31" hidden="1"/>
    <col min="11267" max="11269" width="11.42578125" style="31" hidden="1"/>
    <col min="11270" max="11270" width="5.7109375" style="31" hidden="1"/>
    <col min="11271" max="11520" width="11.42578125" style="31" hidden="1"/>
    <col min="11521" max="11521" width="5.7109375" style="31" hidden="1"/>
    <col min="11522" max="11522" width="59.140625" style="31" hidden="1"/>
    <col min="11523" max="11525" width="11.42578125" style="31" hidden="1"/>
    <col min="11526" max="11526" width="5.7109375" style="31" hidden="1"/>
    <col min="11527" max="11776" width="11.42578125" style="31" hidden="1"/>
    <col min="11777" max="11777" width="5.7109375" style="31" hidden="1"/>
    <col min="11778" max="11778" width="59.140625" style="31" hidden="1"/>
    <col min="11779" max="11781" width="11.42578125" style="31" hidden="1"/>
    <col min="11782" max="11782" width="5.7109375" style="31" hidden="1"/>
    <col min="11783" max="12032" width="11.42578125" style="31" hidden="1"/>
    <col min="12033" max="12033" width="5.7109375" style="31" hidden="1"/>
    <col min="12034" max="12034" width="59.140625" style="31" hidden="1"/>
    <col min="12035" max="12037" width="11.42578125" style="31" hidden="1"/>
    <col min="12038" max="12038" width="5.7109375" style="31" hidden="1"/>
    <col min="12039" max="12289" width="11.42578125" style="31" hidden="1"/>
    <col min="12290" max="12290" width="59.140625" style="31" hidden="1"/>
    <col min="12291" max="12293" width="11.42578125" style="31" hidden="1"/>
    <col min="12294" max="12294" width="5.7109375" style="31" hidden="1"/>
    <col min="12295" max="12544" width="11.42578125" style="31" hidden="1"/>
    <col min="12545" max="12545" width="5.7109375" style="31" hidden="1"/>
    <col min="12546" max="12546" width="59.140625" style="31" hidden="1"/>
    <col min="12547" max="12549" width="11.42578125" style="31" hidden="1"/>
    <col min="12550" max="12550" width="5.7109375" style="31" hidden="1"/>
    <col min="12551" max="12800" width="11.42578125" style="31" hidden="1"/>
    <col min="12801" max="12801" width="5.7109375" style="31" hidden="1"/>
    <col min="12802" max="12802" width="59.140625" style="31" hidden="1"/>
    <col min="12803" max="12805" width="11.42578125" style="31" hidden="1"/>
    <col min="12806" max="12806" width="5.7109375" style="31" hidden="1"/>
    <col min="12807" max="13056" width="11.42578125" style="31" hidden="1"/>
    <col min="13057" max="13057" width="5.7109375" style="31" hidden="1"/>
    <col min="13058" max="13058" width="59.140625" style="31" hidden="1"/>
    <col min="13059" max="13061" width="11.42578125" style="31" hidden="1"/>
    <col min="13062" max="13062" width="5.7109375" style="31" hidden="1"/>
    <col min="13063" max="13313" width="11.42578125" style="31" hidden="1"/>
    <col min="13314" max="13314" width="59.140625" style="31" hidden="1"/>
    <col min="13315" max="13317" width="11.42578125" style="31" hidden="1"/>
    <col min="13318" max="13318" width="5.7109375" style="31" hidden="1"/>
    <col min="13319" max="13568" width="11.42578125" style="31" hidden="1"/>
    <col min="13569" max="13569" width="5.7109375" style="31" hidden="1"/>
    <col min="13570" max="13570" width="59.140625" style="31" hidden="1"/>
    <col min="13571" max="13573" width="11.42578125" style="31" hidden="1"/>
    <col min="13574" max="13574" width="5.7109375" style="31" hidden="1"/>
    <col min="13575" max="13824" width="11.42578125" style="31" hidden="1"/>
    <col min="13825" max="13825" width="5.7109375" style="31" hidden="1"/>
    <col min="13826" max="13826" width="59.140625" style="31" hidden="1"/>
    <col min="13827" max="13829" width="11.42578125" style="31" hidden="1"/>
    <col min="13830" max="13830" width="5.7109375" style="31" hidden="1"/>
    <col min="13831" max="14080" width="11.42578125" style="31" hidden="1"/>
    <col min="14081" max="14081" width="5.7109375" style="31" hidden="1"/>
    <col min="14082" max="14082" width="59.140625" style="31" hidden="1"/>
    <col min="14083" max="14085" width="11.42578125" style="31" hidden="1"/>
    <col min="14086" max="14086" width="5.7109375" style="31" hidden="1"/>
    <col min="14087" max="14337" width="11.42578125" style="31" hidden="1"/>
    <col min="14338" max="14338" width="59.140625" style="31" hidden="1"/>
    <col min="14339" max="14341" width="11.42578125" style="31" hidden="1"/>
    <col min="14342" max="14342" width="5.7109375" style="31" hidden="1"/>
    <col min="14343" max="14592" width="11.42578125" style="31" hidden="1"/>
    <col min="14593" max="14593" width="5.7109375" style="31" hidden="1"/>
    <col min="14594" max="14594" width="59.140625" style="31" hidden="1"/>
    <col min="14595" max="14597" width="11.42578125" style="31" hidden="1"/>
    <col min="14598" max="14598" width="5.7109375" style="31" hidden="1"/>
    <col min="14599" max="14848" width="11.42578125" style="31" hidden="1"/>
    <col min="14849" max="14849" width="5.7109375" style="31" hidden="1"/>
    <col min="14850" max="14850" width="59.140625" style="31" hidden="1"/>
    <col min="14851" max="14853" width="11.42578125" style="31" hidden="1"/>
    <col min="14854" max="14854" width="5.7109375" style="31" hidden="1"/>
    <col min="14855" max="15104" width="11.42578125" style="31" hidden="1"/>
    <col min="15105" max="15105" width="5.7109375" style="31" hidden="1"/>
    <col min="15106" max="15106" width="59.140625" style="31" hidden="1"/>
    <col min="15107" max="15109" width="11.42578125" style="31" hidden="1"/>
    <col min="15110" max="15110" width="5.7109375" style="31" hidden="1"/>
    <col min="15111" max="15361" width="11.42578125" style="31" hidden="1"/>
    <col min="15362" max="15362" width="59.140625" style="31" hidden="1"/>
    <col min="15363" max="15365" width="11.42578125" style="31" hidden="1"/>
    <col min="15366" max="15366" width="5.7109375" style="31" hidden="1"/>
    <col min="15367" max="15616" width="11.42578125" style="31" hidden="1"/>
    <col min="15617" max="15617" width="5.7109375" style="31" hidden="1"/>
    <col min="15618" max="15618" width="59.140625" style="31" hidden="1"/>
    <col min="15619" max="15621" width="11.42578125" style="31" hidden="1"/>
    <col min="15622" max="15622" width="5.7109375" style="31" hidden="1"/>
    <col min="15623" max="15872" width="11.42578125" style="31" hidden="1"/>
    <col min="15873" max="15873" width="5.7109375" style="31" hidden="1"/>
    <col min="15874" max="15874" width="59.140625" style="31" hidden="1"/>
    <col min="15875" max="15877" width="11.42578125" style="31" hidden="1"/>
    <col min="15878" max="15878" width="5.7109375" style="31" hidden="1"/>
    <col min="15879" max="16128" width="11.42578125" style="31" hidden="1"/>
    <col min="16129" max="16129" width="5.7109375" style="31" hidden="1"/>
    <col min="16130" max="16130" width="59.140625" style="31" hidden="1"/>
    <col min="16131" max="16133" width="11.42578125" style="31" hidden="1"/>
    <col min="16134" max="16135" width="5.7109375" style="31" hidden="1"/>
    <col min="16136" max="16384" width="11.42578125" style="31" hidden="1"/>
  </cols>
  <sheetData>
    <row r="1" spans="2:9" ht="27" customHeight="1" thickBot="1" x14ac:dyDescent="0.25">
      <c r="B1" s="453"/>
      <c r="C1" s="453"/>
      <c r="D1" s="453"/>
      <c r="E1" s="453"/>
      <c r="F1" s="453"/>
      <c r="G1" s="780"/>
      <c r="H1" s="780"/>
      <c r="I1" s="780"/>
    </row>
    <row r="2" spans="2:9" ht="15.75" x14ac:dyDescent="0.25">
      <c r="B2" s="371" t="s">
        <v>832</v>
      </c>
      <c r="C2" s="786" t="s">
        <v>103</v>
      </c>
      <c r="D2" s="1072" t="s">
        <v>390</v>
      </c>
      <c r="E2" s="1073"/>
      <c r="F2" s="372"/>
      <c r="G2" s="340" t="s">
        <v>833</v>
      </c>
      <c r="H2" s="104"/>
      <c r="I2" s="105"/>
    </row>
    <row r="3" spans="2:9" x14ac:dyDescent="0.2">
      <c r="B3" s="373" t="s">
        <v>971</v>
      </c>
      <c r="C3" s="374"/>
      <c r="D3" s="374"/>
      <c r="E3" s="374"/>
      <c r="F3" s="374"/>
      <c r="G3" s="106"/>
      <c r="H3" s="107"/>
      <c r="I3" s="108"/>
    </row>
    <row r="4" spans="2:9" x14ac:dyDescent="0.2">
      <c r="B4" s="373" t="s">
        <v>834</v>
      </c>
      <c r="C4" s="374"/>
      <c r="D4" s="374"/>
      <c r="E4" s="374"/>
      <c r="F4" s="374"/>
      <c r="G4" s="106"/>
      <c r="H4" s="107"/>
      <c r="I4" s="108"/>
    </row>
    <row r="5" spans="2:9" x14ac:dyDescent="0.2">
      <c r="B5" s="373" t="s">
        <v>972</v>
      </c>
      <c r="C5" s="374"/>
      <c r="D5" s="374"/>
      <c r="E5" s="374"/>
      <c r="F5" s="374"/>
      <c r="G5" s="106"/>
      <c r="H5" s="107"/>
      <c r="I5" s="108"/>
    </row>
    <row r="6" spans="2:9" x14ac:dyDescent="0.2">
      <c r="B6" s="1074" t="s">
        <v>899</v>
      </c>
      <c r="C6" s="1075"/>
      <c r="D6" s="1075"/>
      <c r="E6" s="1075"/>
      <c r="F6" s="1075"/>
      <c r="G6" s="106"/>
      <c r="H6" s="107"/>
      <c r="I6" s="108"/>
    </row>
    <row r="7" spans="2:9" ht="15.75" customHeight="1" x14ac:dyDescent="0.2">
      <c r="B7" s="375" t="s">
        <v>959</v>
      </c>
      <c r="C7" s="778" t="s">
        <v>835</v>
      </c>
      <c r="D7" s="778"/>
      <c r="E7" s="778">
        <f>IF(Fischzuchtanlage!C18=3,1,0)</f>
        <v>1</v>
      </c>
      <c r="F7" s="376"/>
      <c r="G7" s="1076" t="s">
        <v>836</v>
      </c>
      <c r="H7" s="1077"/>
      <c r="I7" s="1078"/>
    </row>
    <row r="8" spans="2:9" x14ac:dyDescent="0.2">
      <c r="B8" s="373" t="s">
        <v>837</v>
      </c>
      <c r="C8" s="376"/>
      <c r="D8" s="377">
        <f>IF(Fischzuchtanlage!J27/1000&gt;30,0,Fischzuchtanlage!J27/1000)</f>
        <v>0</v>
      </c>
      <c r="E8" s="778">
        <f>IF(D8&gt;0,1,0)</f>
        <v>0</v>
      </c>
      <c r="F8" s="376"/>
      <c r="G8" s="1076"/>
      <c r="H8" s="1077"/>
      <c r="I8" s="1078"/>
    </row>
    <row r="9" spans="2:9" x14ac:dyDescent="0.2">
      <c r="B9" s="373" t="s">
        <v>838</v>
      </c>
      <c r="C9" s="376"/>
      <c r="D9" s="377">
        <f>Fischzuchtanlage!J41</f>
        <v>0</v>
      </c>
      <c r="E9" s="778">
        <f>IF(D9&gt;0,1,0)</f>
        <v>0</v>
      </c>
      <c r="F9" s="376"/>
      <c r="G9" s="1076"/>
      <c r="H9" s="1077"/>
      <c r="I9" s="1078"/>
    </row>
    <row r="10" spans="2:9" x14ac:dyDescent="0.2">
      <c r="B10" s="373" t="s">
        <v>839</v>
      </c>
      <c r="C10" s="376"/>
      <c r="D10" s="777">
        <f>Fischzuchtanlage!J27/VLOOKUP(D2,Preis,16)*1.1</f>
        <v>0</v>
      </c>
      <c r="E10" s="778">
        <f>IF(D10&gt;0,1,0)</f>
        <v>0</v>
      </c>
      <c r="F10" s="376"/>
      <c r="G10" s="106"/>
      <c r="H10" s="107"/>
      <c r="I10" s="108"/>
    </row>
    <row r="11" spans="2:9" ht="12.75" customHeight="1" thickBot="1" x14ac:dyDescent="0.25">
      <c r="B11" s="379"/>
      <c r="C11" s="779" t="s">
        <v>840</v>
      </c>
      <c r="D11" s="779"/>
      <c r="E11" s="779">
        <f>IF(SUM(E7:E10)=4,1,0)</f>
        <v>0</v>
      </c>
      <c r="F11" s="380"/>
      <c r="G11" s="109"/>
      <c r="H11" s="110"/>
      <c r="I11" s="111"/>
    </row>
    <row r="12" spans="2:9" ht="12.75" customHeight="1" x14ac:dyDescent="0.2">
      <c r="B12" s="381" t="s">
        <v>123</v>
      </c>
      <c r="C12" s="382" t="s">
        <v>486</v>
      </c>
      <c r="D12" s="382" t="s">
        <v>841</v>
      </c>
      <c r="E12" s="382" t="s">
        <v>357</v>
      </c>
      <c r="F12" s="372"/>
      <c r="G12" s="341" t="s">
        <v>486</v>
      </c>
      <c r="H12" s="342" t="s">
        <v>841</v>
      </c>
      <c r="I12" s="343" t="s">
        <v>357</v>
      </c>
    </row>
    <row r="13" spans="2:9" x14ac:dyDescent="0.2">
      <c r="B13" s="383"/>
      <c r="C13" s="384" t="s">
        <v>842</v>
      </c>
      <c r="D13" s="384" t="s">
        <v>843</v>
      </c>
      <c r="E13" s="384" t="s">
        <v>844</v>
      </c>
      <c r="F13" s="374"/>
      <c r="G13" s="344" t="s">
        <v>842</v>
      </c>
      <c r="H13" s="345" t="s">
        <v>843</v>
      </c>
      <c r="I13" s="346" t="s">
        <v>844</v>
      </c>
    </row>
    <row r="14" spans="2:9" x14ac:dyDescent="0.2">
      <c r="B14" s="385" t="s">
        <v>845</v>
      </c>
      <c r="C14" s="386">
        <f>52*$E$11</f>
        <v>0</v>
      </c>
      <c r="D14" s="386">
        <v>7</v>
      </c>
      <c r="E14" s="387">
        <f t="shared" ref="E14:E19" si="0">C14*D14</f>
        <v>0</v>
      </c>
      <c r="F14" s="388"/>
      <c r="G14" s="126">
        <f t="shared" ref="G14:H19" si="1">C14</f>
        <v>0</v>
      </c>
      <c r="H14" s="347">
        <f t="shared" si="1"/>
        <v>7</v>
      </c>
      <c r="I14" s="348">
        <f t="shared" ref="I14:I19" si="2">G14*H14</f>
        <v>0</v>
      </c>
    </row>
    <row r="15" spans="2:9" x14ac:dyDescent="0.2">
      <c r="B15" s="385" t="s">
        <v>846</v>
      </c>
      <c r="C15" s="386">
        <f>52*$E$11</f>
        <v>0</v>
      </c>
      <c r="D15" s="386">
        <v>2</v>
      </c>
      <c r="E15" s="387">
        <f t="shared" si="0"/>
        <v>0</v>
      </c>
      <c r="F15" s="388"/>
      <c r="G15" s="126">
        <f t="shared" si="1"/>
        <v>0</v>
      </c>
      <c r="H15" s="347">
        <f t="shared" si="1"/>
        <v>2</v>
      </c>
      <c r="I15" s="348">
        <f t="shared" si="2"/>
        <v>0</v>
      </c>
    </row>
    <row r="16" spans="2:9" x14ac:dyDescent="0.2">
      <c r="B16" s="385" t="s">
        <v>137</v>
      </c>
      <c r="C16" s="386">
        <f>52*$E$11</f>
        <v>0</v>
      </c>
      <c r="D16" s="386">
        <v>1.5</v>
      </c>
      <c r="E16" s="387">
        <f t="shared" si="0"/>
        <v>0</v>
      </c>
      <c r="F16" s="388"/>
      <c r="G16" s="126">
        <f t="shared" si="1"/>
        <v>0</v>
      </c>
      <c r="H16" s="347">
        <f t="shared" si="1"/>
        <v>1.5</v>
      </c>
      <c r="I16" s="348">
        <f t="shared" si="2"/>
        <v>0</v>
      </c>
    </row>
    <row r="17" spans="1:10" x14ac:dyDescent="0.2">
      <c r="B17" s="385" t="s">
        <v>847</v>
      </c>
      <c r="C17" s="386">
        <f>52*$E$11</f>
        <v>0</v>
      </c>
      <c r="D17" s="386">
        <v>1</v>
      </c>
      <c r="E17" s="387">
        <f t="shared" si="0"/>
        <v>0</v>
      </c>
      <c r="F17" s="388"/>
      <c r="G17" s="126">
        <f t="shared" si="1"/>
        <v>0</v>
      </c>
      <c r="H17" s="347">
        <f t="shared" si="1"/>
        <v>1</v>
      </c>
      <c r="I17" s="348">
        <f t="shared" si="2"/>
        <v>0</v>
      </c>
    </row>
    <row r="18" spans="1:10" x14ac:dyDescent="0.2">
      <c r="B18" s="385" t="s">
        <v>848</v>
      </c>
      <c r="C18" s="386">
        <f>D8/0.4*$E$11</f>
        <v>0</v>
      </c>
      <c r="D18" s="386">
        <v>12</v>
      </c>
      <c r="E18" s="387">
        <f t="shared" si="0"/>
        <v>0</v>
      </c>
      <c r="F18" s="388"/>
      <c r="G18" s="126">
        <f t="shared" si="1"/>
        <v>0</v>
      </c>
      <c r="H18" s="347">
        <f t="shared" si="1"/>
        <v>12</v>
      </c>
      <c r="I18" s="348">
        <f t="shared" si="2"/>
        <v>0</v>
      </c>
    </row>
    <row r="19" spans="1:10" x14ac:dyDescent="0.2">
      <c r="A19" s="781"/>
      <c r="B19" s="385" t="s">
        <v>849</v>
      </c>
      <c r="C19" s="386">
        <f>D9*4*$E$11</f>
        <v>0</v>
      </c>
      <c r="D19" s="386">
        <v>3</v>
      </c>
      <c r="E19" s="387">
        <f t="shared" si="0"/>
        <v>0</v>
      </c>
      <c r="F19" s="388"/>
      <c r="G19" s="126">
        <f t="shared" si="1"/>
        <v>0</v>
      </c>
      <c r="H19" s="347">
        <f t="shared" si="1"/>
        <v>3</v>
      </c>
      <c r="I19" s="348">
        <f t="shared" si="2"/>
        <v>0</v>
      </c>
    </row>
    <row r="20" spans="1:10" ht="13.5" thickBot="1" x14ac:dyDescent="0.25">
      <c r="B20" s="389" t="s">
        <v>850</v>
      </c>
      <c r="C20" s="390"/>
      <c r="D20" s="390"/>
      <c r="E20" s="391">
        <f>SUM(E14:E19)</f>
        <v>0</v>
      </c>
      <c r="F20" s="392"/>
      <c r="G20" s="349"/>
      <c r="H20" s="350"/>
      <c r="I20" s="351">
        <f>SUM(I14:I19)</f>
        <v>0</v>
      </c>
    </row>
    <row r="21" spans="1:10" x14ac:dyDescent="0.2">
      <c r="B21" s="402"/>
      <c r="C21" s="372"/>
      <c r="D21" s="372"/>
      <c r="E21" s="372"/>
      <c r="F21" s="372"/>
      <c r="G21" s="103"/>
      <c r="H21" s="104"/>
      <c r="I21" s="105"/>
      <c r="J21" s="785"/>
    </row>
    <row r="22" spans="1:10" s="87" customFormat="1" x14ac:dyDescent="0.2">
      <c r="A22" s="782"/>
      <c r="B22" s="393"/>
      <c r="C22" s="394" t="s">
        <v>851</v>
      </c>
      <c r="D22" s="395">
        <v>8</v>
      </c>
      <c r="E22" s="396"/>
      <c r="F22" s="397"/>
      <c r="G22" s="352"/>
      <c r="H22" s="353">
        <v>8</v>
      </c>
      <c r="I22" s="354"/>
      <c r="J22" s="782"/>
    </row>
    <row r="23" spans="1:10" x14ac:dyDescent="0.2">
      <c r="B23" s="398" t="s">
        <v>111</v>
      </c>
      <c r="C23" s="399" t="s">
        <v>852</v>
      </c>
      <c r="D23" s="399" t="s">
        <v>853</v>
      </c>
      <c r="E23" s="399" t="s">
        <v>854</v>
      </c>
      <c r="F23" s="374"/>
      <c r="G23" s="344" t="s">
        <v>852</v>
      </c>
      <c r="H23" s="345" t="s">
        <v>853</v>
      </c>
      <c r="I23" s="355" t="s">
        <v>854</v>
      </c>
    </row>
    <row r="24" spans="1:10" x14ac:dyDescent="0.2">
      <c r="B24" s="385" t="s">
        <v>855</v>
      </c>
      <c r="C24" s="387">
        <f>0.1*C27</f>
        <v>0</v>
      </c>
      <c r="D24" s="400">
        <f>100/D$22</f>
        <v>12.5</v>
      </c>
      <c r="E24" s="387">
        <f>C24*D24/100</f>
        <v>0</v>
      </c>
      <c r="F24" s="388"/>
      <c r="G24" s="356">
        <f>C24</f>
        <v>0</v>
      </c>
      <c r="H24" s="357">
        <f>100/H$22</f>
        <v>12.5</v>
      </c>
      <c r="I24" s="348">
        <f>G24*H24/100</f>
        <v>0</v>
      </c>
    </row>
    <row r="25" spans="1:10" x14ac:dyDescent="0.2">
      <c r="B25" s="385" t="s">
        <v>856</v>
      </c>
      <c r="C25" s="387">
        <f>0.08*C27</f>
        <v>0</v>
      </c>
      <c r="D25" s="400">
        <f>100/D$22</f>
        <v>12.5</v>
      </c>
      <c r="E25" s="387">
        <f>C25*D25/100</f>
        <v>0</v>
      </c>
      <c r="F25" s="388"/>
      <c r="G25" s="356">
        <f>C25</f>
        <v>0</v>
      </c>
      <c r="H25" s="357">
        <f>100/H$22</f>
        <v>12.5</v>
      </c>
      <c r="I25" s="348">
        <f>G25*H25/100</f>
        <v>0</v>
      </c>
    </row>
    <row r="26" spans="1:10" x14ac:dyDescent="0.2">
      <c r="B26" s="385" t="s">
        <v>857</v>
      </c>
      <c r="C26" s="387">
        <f>0.05*C27</f>
        <v>0</v>
      </c>
      <c r="D26" s="400">
        <f>100/D$22</f>
        <v>12.5</v>
      </c>
      <c r="E26" s="387">
        <f>C26*D26/100</f>
        <v>0</v>
      </c>
      <c r="F26" s="388"/>
      <c r="G26" s="356">
        <f>C26</f>
        <v>0</v>
      </c>
      <c r="H26" s="357">
        <f>100/H$22</f>
        <v>12.5</v>
      </c>
      <c r="I26" s="348">
        <f>G26*H26/100</f>
        <v>0</v>
      </c>
    </row>
    <row r="27" spans="1:10" x14ac:dyDescent="0.2">
      <c r="B27" s="385" t="s">
        <v>858</v>
      </c>
      <c r="C27" s="387">
        <f>$E$11*(4170*D8+309060)</f>
        <v>0</v>
      </c>
      <c r="D27" s="400">
        <f>100/D$22</f>
        <v>12.5</v>
      </c>
      <c r="E27" s="387">
        <f>C27*D27/100</f>
        <v>0</v>
      </c>
      <c r="F27" s="388"/>
      <c r="G27" s="356">
        <f>C27</f>
        <v>0</v>
      </c>
      <c r="H27" s="357">
        <f>100/H$22</f>
        <v>12.5</v>
      </c>
      <c r="I27" s="348">
        <f>G27*H27/100</f>
        <v>0</v>
      </c>
    </row>
    <row r="28" spans="1:10" ht="13.5" thickBot="1" x14ac:dyDescent="0.25">
      <c r="B28" s="389" t="s">
        <v>859</v>
      </c>
      <c r="C28" s="811">
        <f>SUM(C24:C27)</f>
        <v>0</v>
      </c>
      <c r="D28" s="390"/>
      <c r="E28" s="439">
        <f>SUM(E24:E27)</f>
        <v>0</v>
      </c>
      <c r="F28" s="392"/>
      <c r="G28" s="358"/>
      <c r="H28" s="359"/>
      <c r="I28" s="440">
        <f>SUM(I24:I27)</f>
        <v>0</v>
      </c>
    </row>
    <row r="29" spans="1:10" x14ac:dyDescent="0.2">
      <c r="B29" s="101"/>
      <c r="C29" s="374"/>
      <c r="D29" s="374"/>
      <c r="E29" s="374"/>
      <c r="F29" s="374"/>
      <c r="G29" s="106"/>
      <c r="H29" s="107"/>
      <c r="I29" s="108"/>
    </row>
    <row r="30" spans="1:10" ht="25.5" x14ac:dyDescent="0.2">
      <c r="B30" s="403" t="s">
        <v>363</v>
      </c>
      <c r="C30" s="404" t="s">
        <v>860</v>
      </c>
      <c r="D30" s="404" t="s">
        <v>861</v>
      </c>
      <c r="E30" s="384" t="s">
        <v>854</v>
      </c>
      <c r="F30" s="374"/>
      <c r="G30" s="360" t="s">
        <v>860</v>
      </c>
      <c r="H30" s="361" t="s">
        <v>862</v>
      </c>
      <c r="I30" s="346" t="s">
        <v>854</v>
      </c>
    </row>
    <row r="31" spans="1:10" x14ac:dyDescent="0.2">
      <c r="B31" s="385" t="s">
        <v>142</v>
      </c>
      <c r="C31" s="386">
        <f>52*$E$11</f>
        <v>0</v>
      </c>
      <c r="D31" s="386">
        <v>15</v>
      </c>
      <c r="E31" s="387">
        <f t="shared" ref="E31:E38" si="3">C31*D31</f>
        <v>0</v>
      </c>
      <c r="F31" s="388"/>
      <c r="G31" s="126">
        <f>C31</f>
        <v>0</v>
      </c>
      <c r="H31" s="347">
        <f>D31</f>
        <v>15</v>
      </c>
      <c r="I31" s="348">
        <f t="shared" ref="I31:I38" si="4">G31*H31</f>
        <v>0</v>
      </c>
    </row>
    <row r="32" spans="1:10" x14ac:dyDescent="0.2">
      <c r="B32" s="385" t="s">
        <v>148</v>
      </c>
      <c r="C32" s="386">
        <f>6*$E$11</f>
        <v>0</v>
      </c>
      <c r="D32" s="386">
        <v>100</v>
      </c>
      <c r="E32" s="387">
        <f t="shared" si="3"/>
        <v>0</v>
      </c>
      <c r="F32" s="388"/>
      <c r="G32" s="126">
        <f t="shared" ref="G32:H38" si="5">C32</f>
        <v>0</v>
      </c>
      <c r="H32" s="347">
        <f t="shared" si="5"/>
        <v>100</v>
      </c>
      <c r="I32" s="348">
        <f t="shared" si="4"/>
        <v>0</v>
      </c>
    </row>
    <row r="33" spans="2:9" x14ac:dyDescent="0.2">
      <c r="B33" s="385" t="s">
        <v>863</v>
      </c>
      <c r="C33" s="386">
        <f>1*$E$11</f>
        <v>0</v>
      </c>
      <c r="D33" s="386">
        <v>500</v>
      </c>
      <c r="E33" s="387">
        <f t="shared" si="3"/>
        <v>0</v>
      </c>
      <c r="F33" s="388"/>
      <c r="G33" s="126">
        <f t="shared" si="5"/>
        <v>0</v>
      </c>
      <c r="H33" s="347">
        <f t="shared" si="5"/>
        <v>500</v>
      </c>
      <c r="I33" s="348">
        <f t="shared" si="4"/>
        <v>0</v>
      </c>
    </row>
    <row r="34" spans="2:9" x14ac:dyDescent="0.2">
      <c r="B34" s="385" t="s">
        <v>864</v>
      </c>
      <c r="C34" s="386">
        <f>$E$11*D9*365</f>
        <v>0</v>
      </c>
      <c r="D34" s="405">
        <v>0.5</v>
      </c>
      <c r="E34" s="387">
        <f t="shared" si="3"/>
        <v>0</v>
      </c>
      <c r="F34" s="388"/>
      <c r="G34" s="356">
        <f t="shared" si="5"/>
        <v>0</v>
      </c>
      <c r="H34" s="347">
        <f t="shared" si="5"/>
        <v>0.5</v>
      </c>
      <c r="I34" s="348">
        <f t="shared" si="4"/>
        <v>0</v>
      </c>
    </row>
    <row r="35" spans="2:9" x14ac:dyDescent="0.2">
      <c r="B35" s="385" t="s">
        <v>865</v>
      </c>
      <c r="C35" s="387">
        <f>$E$11*(1130.4*D8+31031)*1.9</f>
        <v>0</v>
      </c>
      <c r="D35" s="405">
        <v>0.21</v>
      </c>
      <c r="E35" s="387">
        <f t="shared" si="3"/>
        <v>0</v>
      </c>
      <c r="F35" s="388"/>
      <c r="G35" s="356">
        <f t="shared" si="5"/>
        <v>0</v>
      </c>
      <c r="H35" s="347">
        <f t="shared" si="5"/>
        <v>0.21</v>
      </c>
      <c r="I35" s="348">
        <f t="shared" si="4"/>
        <v>0</v>
      </c>
    </row>
    <row r="36" spans="2:9" x14ac:dyDescent="0.2">
      <c r="B36" s="385" t="s">
        <v>866</v>
      </c>
      <c r="C36" s="387">
        <f>$E$11*(3769*D8+45976)*VLOOKUP(D2,Preis,11)</f>
        <v>0</v>
      </c>
      <c r="D36" s="405">
        <v>0.06</v>
      </c>
      <c r="E36" s="387">
        <f t="shared" si="3"/>
        <v>0</v>
      </c>
      <c r="F36" s="388"/>
      <c r="G36" s="356">
        <f t="shared" si="5"/>
        <v>0</v>
      </c>
      <c r="H36" s="347">
        <f t="shared" si="5"/>
        <v>0.06</v>
      </c>
      <c r="I36" s="348">
        <f t="shared" si="4"/>
        <v>0</v>
      </c>
    </row>
    <row r="37" spans="2:9" x14ac:dyDescent="0.2">
      <c r="B37" s="385" t="s">
        <v>371</v>
      </c>
      <c r="C37" s="387">
        <f>$E$11*876*D8*1.4</f>
        <v>0</v>
      </c>
      <c r="D37" s="405">
        <v>1</v>
      </c>
      <c r="E37" s="387">
        <f>C37*D37</f>
        <v>0</v>
      </c>
      <c r="F37" s="388"/>
      <c r="G37" s="356">
        <f>C37</f>
        <v>0</v>
      </c>
      <c r="H37" s="347">
        <f t="shared" si="5"/>
        <v>1</v>
      </c>
      <c r="I37" s="348">
        <f t="shared" si="4"/>
        <v>0</v>
      </c>
    </row>
    <row r="38" spans="2:9" x14ac:dyDescent="0.2">
      <c r="B38" s="385" t="s">
        <v>867</v>
      </c>
      <c r="C38" s="387">
        <f>C28*0.003</f>
        <v>0</v>
      </c>
      <c r="D38" s="406">
        <v>1</v>
      </c>
      <c r="E38" s="387">
        <f t="shared" si="3"/>
        <v>0</v>
      </c>
      <c r="F38" s="388"/>
      <c r="G38" s="356">
        <f t="shared" si="5"/>
        <v>0</v>
      </c>
      <c r="H38" s="347">
        <f t="shared" si="5"/>
        <v>1</v>
      </c>
      <c r="I38" s="348">
        <f t="shared" si="4"/>
        <v>0</v>
      </c>
    </row>
    <row r="39" spans="2:9" ht="13.5" thickBot="1" x14ac:dyDescent="0.25">
      <c r="B39" s="389" t="s">
        <v>868</v>
      </c>
      <c r="C39" s="390"/>
      <c r="D39" s="390"/>
      <c r="E39" s="407">
        <f>SUM(E31:E38)</f>
        <v>0</v>
      </c>
      <c r="F39" s="392"/>
      <c r="G39" s="349"/>
      <c r="H39" s="350"/>
      <c r="I39" s="362">
        <f>SUM(I31:I38)</f>
        <v>0</v>
      </c>
    </row>
    <row r="40" spans="2:9" x14ac:dyDescent="0.2">
      <c r="B40" s="101"/>
      <c r="C40" s="374"/>
      <c r="D40" s="374"/>
      <c r="E40" s="374"/>
      <c r="F40" s="374"/>
      <c r="G40" s="106"/>
      <c r="H40" s="107"/>
      <c r="I40" s="108"/>
    </row>
    <row r="41" spans="2:9" ht="26.25" thickBot="1" x14ac:dyDescent="0.25">
      <c r="B41" s="408" t="s">
        <v>154</v>
      </c>
      <c r="C41" s="404" t="s">
        <v>860</v>
      </c>
      <c r="D41" s="404" t="s">
        <v>861</v>
      </c>
      <c r="E41" s="384" t="s">
        <v>854</v>
      </c>
      <c r="F41" s="374"/>
      <c r="G41" s="360" t="s">
        <v>860</v>
      </c>
      <c r="H41" s="361" t="s">
        <v>862</v>
      </c>
      <c r="I41" s="346" t="s">
        <v>854</v>
      </c>
    </row>
    <row r="42" spans="2:9" x14ac:dyDescent="0.2">
      <c r="B42" s="409" t="s">
        <v>155</v>
      </c>
      <c r="C42" s="411">
        <f>$E$11*D10</f>
        <v>0</v>
      </c>
      <c r="D42" s="410">
        <f>VLOOKUP(D2,Preis,10)</f>
        <v>2</v>
      </c>
      <c r="E42" s="411">
        <f>C42*D42</f>
        <v>0</v>
      </c>
      <c r="F42" s="412"/>
      <c r="G42" s="784">
        <f t="shared" ref="G42:H44" si="6">C42</f>
        <v>0</v>
      </c>
      <c r="H42" s="363">
        <f t="shared" si="6"/>
        <v>2</v>
      </c>
      <c r="I42" s="364">
        <f>G42*H42</f>
        <v>0</v>
      </c>
    </row>
    <row r="43" spans="2:9" x14ac:dyDescent="0.2">
      <c r="B43" s="385" t="s">
        <v>156</v>
      </c>
      <c r="C43" s="386">
        <f>$E$11*12</f>
        <v>0</v>
      </c>
      <c r="D43" s="386">
        <v>100</v>
      </c>
      <c r="E43" s="387">
        <f>C43*D43</f>
        <v>0</v>
      </c>
      <c r="F43" s="388"/>
      <c r="G43" s="126">
        <f t="shared" si="6"/>
        <v>0</v>
      </c>
      <c r="H43" s="814">
        <f t="shared" si="6"/>
        <v>100</v>
      </c>
      <c r="I43" s="348">
        <f>G43*H43</f>
        <v>0</v>
      </c>
    </row>
    <row r="44" spans="2:9" x14ac:dyDescent="0.2">
      <c r="B44" s="385" t="s">
        <v>869</v>
      </c>
      <c r="C44" s="386">
        <f>$E$11*D8*1.2*1000</f>
        <v>0</v>
      </c>
      <c r="D44" s="386">
        <v>2.1</v>
      </c>
      <c r="E44" s="387">
        <f>C44*D44</f>
        <v>0</v>
      </c>
      <c r="F44" s="388"/>
      <c r="G44" s="126">
        <f t="shared" si="6"/>
        <v>0</v>
      </c>
      <c r="H44" s="125">
        <f t="shared" si="6"/>
        <v>2.1</v>
      </c>
      <c r="I44" s="348">
        <f>G44*H44</f>
        <v>0</v>
      </c>
    </row>
    <row r="45" spans="2:9" x14ac:dyDescent="0.2">
      <c r="B45" s="385" t="s">
        <v>160</v>
      </c>
      <c r="C45" s="386"/>
      <c r="D45" s="386"/>
      <c r="E45" s="387">
        <f>$E$11*D8*62</f>
        <v>0</v>
      </c>
      <c r="F45" s="388"/>
      <c r="G45" s="126">
        <f>D8</f>
        <v>0</v>
      </c>
      <c r="H45" s="347">
        <v>62</v>
      </c>
      <c r="I45" s="348">
        <f>$E$11*G45*H45</f>
        <v>0</v>
      </c>
    </row>
    <row r="46" spans="2:9" ht="13.5" thickBot="1" x14ac:dyDescent="0.25">
      <c r="B46" s="413" t="s">
        <v>870</v>
      </c>
      <c r="C46" s="414"/>
      <c r="D46" s="414"/>
      <c r="E46" s="415">
        <f>SUM(E42:E45)</f>
        <v>0</v>
      </c>
      <c r="F46" s="416"/>
      <c r="G46" s="358"/>
      <c r="H46" s="359"/>
      <c r="I46" s="365">
        <f>SUM(I42:I45)</f>
        <v>0</v>
      </c>
    </row>
    <row r="47" spans="2:9" x14ac:dyDescent="0.2">
      <c r="B47" s="402"/>
      <c r="C47" s="372"/>
      <c r="D47" s="372"/>
      <c r="E47" s="372"/>
      <c r="F47" s="417"/>
      <c r="G47" s="103"/>
      <c r="H47" s="104"/>
      <c r="I47" s="105"/>
    </row>
    <row r="48" spans="2:9" ht="16.5" thickBot="1" x14ac:dyDescent="0.3">
      <c r="B48" s="418" t="s">
        <v>871</v>
      </c>
      <c r="C48" s="378" t="s">
        <v>872</v>
      </c>
      <c r="D48" s="374"/>
      <c r="E48" s="374"/>
      <c r="F48" s="419"/>
      <c r="G48" s="366" t="s">
        <v>872</v>
      </c>
      <c r="H48" s="107"/>
      <c r="I48" s="108"/>
    </row>
    <row r="49" spans="2:9" x14ac:dyDescent="0.2">
      <c r="B49" s="420" t="s">
        <v>873</v>
      </c>
      <c r="C49" s="401">
        <f>E28</f>
        <v>0</v>
      </c>
      <c r="D49" s="388"/>
      <c r="E49" s="388"/>
      <c r="F49" s="388"/>
      <c r="G49" s="752">
        <f>I28</f>
        <v>0</v>
      </c>
      <c r="H49" s="436"/>
      <c r="I49" s="437"/>
    </row>
    <row r="50" spans="2:9" x14ac:dyDescent="0.2">
      <c r="B50" s="421" t="s">
        <v>363</v>
      </c>
      <c r="C50" s="422">
        <f>E39</f>
        <v>0</v>
      </c>
      <c r="D50" s="388"/>
      <c r="E50" s="388"/>
      <c r="F50" s="388"/>
      <c r="G50" s="753">
        <f>I39</f>
        <v>0</v>
      </c>
      <c r="H50" s="113"/>
      <c r="I50" s="367"/>
    </row>
    <row r="51" spans="2:9" ht="25.5" x14ac:dyDescent="0.2">
      <c r="B51" s="423" t="s">
        <v>874</v>
      </c>
      <c r="C51" s="424">
        <f>E46</f>
        <v>0</v>
      </c>
      <c r="D51" s="399" t="s">
        <v>875</v>
      </c>
      <c r="E51" s="425" t="s">
        <v>876</v>
      </c>
      <c r="F51" s="388"/>
      <c r="G51" s="783">
        <f>I46</f>
        <v>0</v>
      </c>
      <c r="H51" s="368" t="s">
        <v>875</v>
      </c>
      <c r="I51" s="369" t="s">
        <v>876</v>
      </c>
    </row>
    <row r="52" spans="2:9" ht="13.5" thickBot="1" x14ac:dyDescent="0.25">
      <c r="B52" s="426" t="s">
        <v>877</v>
      </c>
      <c r="C52" s="427">
        <f>D52*E52</f>
        <v>0</v>
      </c>
      <c r="D52" s="428">
        <f>E20</f>
        <v>0</v>
      </c>
      <c r="E52" s="429">
        <v>15</v>
      </c>
      <c r="F52" s="392"/>
      <c r="G52" s="438">
        <f>H52*I52</f>
        <v>0</v>
      </c>
      <c r="H52" s="434">
        <f>I20</f>
        <v>0</v>
      </c>
      <c r="I52" s="370">
        <v>15</v>
      </c>
    </row>
    <row r="53" spans="2:9" x14ac:dyDescent="0.2">
      <c r="B53" s="441" t="s">
        <v>878</v>
      </c>
      <c r="C53" s="443">
        <f>SUM(C49:C52)</f>
        <v>0</v>
      </c>
      <c r="D53" s="13"/>
      <c r="E53" s="13"/>
      <c r="F53" s="13"/>
      <c r="G53" s="435">
        <f>SUM(G49:G52)</f>
        <v>0</v>
      </c>
      <c r="H53" s="33"/>
      <c r="I53" s="33"/>
    </row>
    <row r="54" spans="2:9" ht="13.5" thickBot="1" x14ac:dyDescent="0.25">
      <c r="B54" s="442" t="s">
        <v>879</v>
      </c>
      <c r="C54" s="754" t="str">
        <f>IF(ISERROR(C53/D8/1000),"",(C53/D8/1000))</f>
        <v/>
      </c>
      <c r="D54" s="13"/>
      <c r="E54" s="13"/>
      <c r="F54" s="13"/>
      <c r="G54" s="755" t="str">
        <f>IF(ISERROR(G53/D8/1000),"",G53/D8/1000)</f>
        <v/>
      </c>
      <c r="H54" s="33"/>
      <c r="I54" s="33"/>
    </row>
    <row r="55" spans="2:9" x14ac:dyDescent="0.2">
      <c r="B55" s="5"/>
      <c r="C55" s="5"/>
      <c r="D55" s="5"/>
      <c r="E55" s="5"/>
      <c r="F55" s="5"/>
      <c r="H55" s="33"/>
      <c r="I55" s="33"/>
    </row>
    <row r="56" spans="2:9" x14ac:dyDescent="0.2">
      <c r="B56" s="5"/>
      <c r="C56" s="834" t="s">
        <v>1034</v>
      </c>
      <c r="D56" s="834"/>
      <c r="E56" s="833">
        <f>VLOOKUP(D2,Preis,14)</f>
        <v>24</v>
      </c>
      <c r="F56" s="5"/>
    </row>
    <row r="57" spans="2:9" x14ac:dyDescent="0.2">
      <c r="B57" s="430" t="s">
        <v>880</v>
      </c>
      <c r="C57" s="431"/>
      <c r="D57" s="13"/>
      <c r="E57" s="13"/>
      <c r="F57" s="13"/>
    </row>
    <row r="58" spans="2:9" x14ac:dyDescent="0.2">
      <c r="B58" s="432" t="s">
        <v>898</v>
      </c>
      <c r="C58" s="13"/>
      <c r="D58" s="13"/>
      <c r="E58" s="13"/>
      <c r="F58" s="13"/>
    </row>
    <row r="59" spans="2:9" x14ac:dyDescent="0.2">
      <c r="B59" s="433" t="s">
        <v>881</v>
      </c>
      <c r="C59" s="13"/>
      <c r="D59" s="13"/>
      <c r="E59" s="13"/>
      <c r="F59" s="13"/>
    </row>
    <row r="60" spans="2:9" x14ac:dyDescent="0.2">
      <c r="B60" s="433" t="s">
        <v>882</v>
      </c>
      <c r="C60" s="13"/>
      <c r="D60" s="13"/>
      <c r="E60" s="13"/>
      <c r="F60" s="13"/>
    </row>
    <row r="61" spans="2:9" x14ac:dyDescent="0.2">
      <c r="B61" s="433" t="s">
        <v>883</v>
      </c>
      <c r="C61" s="13"/>
      <c r="D61" s="13"/>
      <c r="E61" s="13"/>
      <c r="F61" s="13"/>
    </row>
    <row r="62" spans="2:9" x14ac:dyDescent="0.2">
      <c r="B62" s="433" t="s">
        <v>884</v>
      </c>
      <c r="C62" s="13"/>
      <c r="D62" s="13"/>
      <c r="E62" s="13"/>
      <c r="F62" s="13"/>
    </row>
    <row r="63" spans="2:9" x14ac:dyDescent="0.2">
      <c r="B63" s="433" t="s">
        <v>885</v>
      </c>
      <c r="C63" s="13"/>
      <c r="D63" s="13"/>
      <c r="E63" s="13"/>
      <c r="F63" s="13"/>
    </row>
    <row r="64" spans="2:9" x14ac:dyDescent="0.2">
      <c r="B64" s="433" t="s">
        <v>886</v>
      </c>
      <c r="C64" s="13"/>
      <c r="D64" s="13"/>
      <c r="E64" s="13"/>
      <c r="F64" s="13"/>
    </row>
    <row r="65" spans="2:6" hidden="1" x14ac:dyDescent="0.2">
      <c r="B65" s="13"/>
      <c r="C65" s="13"/>
      <c r="D65" s="13"/>
      <c r="E65" s="13"/>
      <c r="F65" s="13"/>
    </row>
    <row r="66" spans="2:6" hidden="1" x14ac:dyDescent="0.2">
      <c r="B66" s="13"/>
      <c r="C66" s="13"/>
      <c r="D66" s="13"/>
      <c r="E66" s="13"/>
      <c r="F66" s="13"/>
    </row>
    <row r="67" spans="2:6" hidden="1" x14ac:dyDescent="0.2">
      <c r="B67" s="13"/>
      <c r="C67" s="13"/>
      <c r="D67" s="13"/>
      <c r="E67" s="13"/>
      <c r="F67" s="13"/>
    </row>
    <row r="68" spans="2:6" hidden="1" x14ac:dyDescent="0.2">
      <c r="B68" s="13"/>
      <c r="C68" s="13"/>
      <c r="D68" s="13"/>
      <c r="E68" s="13"/>
      <c r="F68" s="13"/>
    </row>
    <row r="69" spans="2:6" hidden="1" x14ac:dyDescent="0.2">
      <c r="B69" s="13"/>
      <c r="C69" s="13"/>
      <c r="D69" s="13"/>
      <c r="E69" s="13"/>
      <c r="F69" s="13"/>
    </row>
    <row r="70" spans="2:6" hidden="1" x14ac:dyDescent="0.2">
      <c r="B70" s="13"/>
      <c r="C70" s="13"/>
      <c r="D70" s="13"/>
      <c r="E70" s="13"/>
      <c r="F70" s="13"/>
    </row>
    <row r="71" spans="2:6" hidden="1" x14ac:dyDescent="0.2">
      <c r="B71" s="13"/>
      <c r="C71" s="13"/>
      <c r="D71" s="13"/>
      <c r="E71" s="13"/>
      <c r="F71" s="13"/>
    </row>
    <row r="72" spans="2:6" hidden="1" x14ac:dyDescent="0.2">
      <c r="B72" s="13"/>
      <c r="C72" s="13"/>
      <c r="D72" s="13"/>
      <c r="E72" s="13"/>
      <c r="F72" s="13"/>
    </row>
    <row r="73" spans="2:6" hidden="1" x14ac:dyDescent="0.2">
      <c r="B73" s="13"/>
      <c r="C73" s="13"/>
      <c r="D73" s="13"/>
      <c r="E73" s="13"/>
      <c r="F73" s="13"/>
    </row>
    <row r="74" spans="2:6" hidden="1" x14ac:dyDescent="0.2">
      <c r="B74" s="13"/>
      <c r="C74" s="13"/>
      <c r="D74" s="13"/>
      <c r="E74" s="13"/>
      <c r="F74" s="13"/>
    </row>
    <row r="75" spans="2:6" hidden="1" x14ac:dyDescent="0.2">
      <c r="B75" s="13"/>
      <c r="C75" s="13"/>
      <c r="D75" s="13"/>
      <c r="E75" s="13"/>
      <c r="F75" s="13"/>
    </row>
    <row r="76" spans="2:6" hidden="1" x14ac:dyDescent="0.2">
      <c r="B76" s="13"/>
      <c r="C76" s="13"/>
      <c r="D76" s="13"/>
      <c r="E76" s="13"/>
      <c r="F76" s="13"/>
    </row>
    <row r="77" spans="2:6" hidden="1" x14ac:dyDescent="0.2">
      <c r="B77" s="13"/>
      <c r="C77" s="13"/>
      <c r="D77" s="13"/>
      <c r="E77" s="13"/>
      <c r="F77" s="13"/>
    </row>
    <row r="78" spans="2:6" hidden="1" x14ac:dyDescent="0.2">
      <c r="B78" s="13"/>
      <c r="C78" s="13"/>
      <c r="D78" s="13"/>
      <c r="E78" s="13"/>
      <c r="F78" s="13"/>
    </row>
    <row r="79" spans="2:6" hidden="1" x14ac:dyDescent="0.2">
      <c r="B79" s="13"/>
      <c r="C79" s="13"/>
      <c r="D79" s="13"/>
      <c r="E79" s="13"/>
      <c r="F79" s="13"/>
    </row>
    <row r="80" spans="2:6" hidden="1" x14ac:dyDescent="0.2">
      <c r="B80" s="13"/>
      <c r="C80" s="13"/>
      <c r="D80" s="13"/>
      <c r="E80" s="13"/>
      <c r="F80" s="13"/>
    </row>
    <row r="81" spans="2:6" hidden="1" x14ac:dyDescent="0.2">
      <c r="B81" s="13"/>
      <c r="C81" s="13"/>
      <c r="D81" s="13"/>
      <c r="E81" s="13"/>
      <c r="F81" s="13"/>
    </row>
    <row r="82" spans="2:6" hidden="1" x14ac:dyDescent="0.2">
      <c r="B82" s="13"/>
      <c r="C82" s="13"/>
      <c r="D82" s="13"/>
      <c r="E82" s="13"/>
      <c r="F82" s="13"/>
    </row>
    <row r="83" spans="2:6" hidden="1" x14ac:dyDescent="0.2">
      <c r="B83" s="13"/>
      <c r="C83" s="13"/>
      <c r="D83" s="13"/>
      <c r="E83" s="13"/>
      <c r="F83" s="13"/>
    </row>
    <row r="84" spans="2:6" hidden="1" x14ac:dyDescent="0.2">
      <c r="B84" s="13"/>
      <c r="C84" s="13"/>
      <c r="D84" s="13"/>
      <c r="E84" s="13"/>
      <c r="F84" s="13"/>
    </row>
    <row r="85" spans="2:6" hidden="1" x14ac:dyDescent="0.2">
      <c r="B85" s="13"/>
      <c r="C85" s="13"/>
      <c r="D85" s="13"/>
      <c r="E85" s="13"/>
      <c r="F85" s="13"/>
    </row>
    <row r="86" spans="2:6" hidden="1" x14ac:dyDescent="0.2">
      <c r="B86" s="13"/>
      <c r="C86" s="13"/>
      <c r="D86" s="13"/>
      <c r="E86" s="13"/>
      <c r="F86" s="13"/>
    </row>
    <row r="87" spans="2:6" hidden="1" x14ac:dyDescent="0.2">
      <c r="B87" s="13"/>
      <c r="C87" s="13"/>
      <c r="D87" s="13"/>
      <c r="E87" s="13"/>
      <c r="F87" s="13"/>
    </row>
    <row r="88" spans="2:6" hidden="1" x14ac:dyDescent="0.2">
      <c r="B88" s="13"/>
      <c r="C88" s="13"/>
      <c r="D88" s="13"/>
      <c r="E88" s="13"/>
      <c r="F88" s="13"/>
    </row>
    <row r="89" spans="2:6" hidden="1" x14ac:dyDescent="0.2">
      <c r="B89" s="13"/>
      <c r="C89" s="13"/>
      <c r="D89" s="13"/>
      <c r="E89" s="13"/>
      <c r="F89" s="13"/>
    </row>
    <row r="90" spans="2:6" hidden="1" x14ac:dyDescent="0.2">
      <c r="B90" s="13"/>
      <c r="C90" s="13"/>
      <c r="D90" s="13"/>
      <c r="E90" s="13"/>
      <c r="F90" s="13"/>
    </row>
    <row r="91" spans="2:6" hidden="1" x14ac:dyDescent="0.2">
      <c r="B91" s="13"/>
      <c r="C91" s="13"/>
      <c r="D91" s="13"/>
      <c r="E91" s="13"/>
      <c r="F91" s="13"/>
    </row>
    <row r="92" spans="2:6" hidden="1" x14ac:dyDescent="0.2">
      <c r="B92" s="13"/>
      <c r="C92" s="13"/>
      <c r="D92" s="13"/>
      <c r="E92" s="13"/>
      <c r="F92" s="13"/>
    </row>
    <row r="93" spans="2:6" hidden="1" x14ac:dyDescent="0.2">
      <c r="B93" s="13"/>
      <c r="C93" s="13"/>
      <c r="D93" s="13"/>
      <c r="E93" s="13"/>
      <c r="F93" s="13"/>
    </row>
    <row r="94" spans="2:6" hidden="1" x14ac:dyDescent="0.2">
      <c r="B94" s="13"/>
      <c r="C94" s="13"/>
      <c r="D94" s="13"/>
      <c r="E94" s="13"/>
      <c r="F94" s="13"/>
    </row>
    <row r="95" spans="2:6" hidden="1" x14ac:dyDescent="0.2">
      <c r="B95" s="13"/>
      <c r="C95" s="13"/>
      <c r="D95" s="13"/>
      <c r="E95" s="13"/>
      <c r="F95" s="13"/>
    </row>
    <row r="96" spans="2:6" hidden="1" x14ac:dyDescent="0.2">
      <c r="B96" s="13"/>
      <c r="C96" s="13"/>
      <c r="D96" s="13"/>
      <c r="E96" s="13"/>
      <c r="F96" s="13"/>
    </row>
    <row r="97" spans="2:6" hidden="1" x14ac:dyDescent="0.2">
      <c r="B97" s="13"/>
      <c r="C97" s="13"/>
      <c r="D97" s="13"/>
      <c r="E97" s="13"/>
      <c r="F97" s="13"/>
    </row>
    <row r="98" spans="2:6" hidden="1" x14ac:dyDescent="0.2">
      <c r="B98" s="13"/>
      <c r="C98" s="13"/>
      <c r="D98" s="13"/>
      <c r="E98" s="13"/>
      <c r="F98" s="13"/>
    </row>
    <row r="99" spans="2:6" hidden="1" x14ac:dyDescent="0.2">
      <c r="B99" s="13"/>
      <c r="C99" s="13"/>
      <c r="D99" s="13"/>
      <c r="E99" s="13"/>
      <c r="F99" s="13"/>
    </row>
    <row r="100" spans="2:6" hidden="1" x14ac:dyDescent="0.2">
      <c r="B100" s="13"/>
      <c r="C100" s="13"/>
      <c r="D100" s="13"/>
      <c r="E100" s="13"/>
      <c r="F100" s="13"/>
    </row>
    <row r="101" spans="2:6" hidden="1" x14ac:dyDescent="0.2">
      <c r="B101" s="13"/>
      <c r="C101" s="13"/>
      <c r="D101" s="13"/>
      <c r="E101" s="13"/>
      <c r="F101" s="13"/>
    </row>
    <row r="102" spans="2:6" hidden="1" x14ac:dyDescent="0.2">
      <c r="B102" s="13"/>
      <c r="C102" s="13"/>
      <c r="D102" s="13"/>
      <c r="E102" s="13"/>
      <c r="F102" s="13"/>
    </row>
    <row r="103" spans="2:6" hidden="1" x14ac:dyDescent="0.2">
      <c r="B103" s="13"/>
      <c r="C103" s="13"/>
      <c r="D103" s="13"/>
      <c r="E103" s="13"/>
      <c r="F103" s="13"/>
    </row>
    <row r="104" spans="2:6" hidden="1" x14ac:dyDescent="0.2">
      <c r="B104" s="13"/>
      <c r="C104" s="13"/>
      <c r="D104" s="13"/>
      <c r="E104" s="13"/>
      <c r="F104" s="13"/>
    </row>
    <row r="105" spans="2:6" hidden="1" x14ac:dyDescent="0.2">
      <c r="B105" s="13"/>
      <c r="C105" s="13"/>
      <c r="D105" s="13"/>
      <c r="E105" s="13"/>
      <c r="F105" s="13"/>
    </row>
    <row r="106" spans="2:6" hidden="1" x14ac:dyDescent="0.2">
      <c r="B106" s="13"/>
      <c r="C106" s="13"/>
      <c r="D106" s="13"/>
      <c r="E106" s="13"/>
      <c r="F106" s="13"/>
    </row>
    <row r="107" spans="2:6" hidden="1" x14ac:dyDescent="0.2">
      <c r="B107" s="13"/>
      <c r="C107" s="13"/>
      <c r="D107" s="13"/>
      <c r="E107" s="13"/>
      <c r="F107" s="13"/>
    </row>
    <row r="108" spans="2:6" hidden="1" x14ac:dyDescent="0.2">
      <c r="B108" s="13"/>
      <c r="C108" s="13"/>
      <c r="D108" s="13"/>
      <c r="E108" s="13"/>
      <c r="F108" s="13"/>
    </row>
    <row r="109" spans="2:6" hidden="1" x14ac:dyDescent="0.2">
      <c r="B109" s="13"/>
      <c r="C109" s="13"/>
      <c r="D109" s="13"/>
      <c r="E109" s="13"/>
      <c r="F109" s="13"/>
    </row>
    <row r="110" spans="2:6" hidden="1" x14ac:dyDescent="0.2">
      <c r="B110" s="13"/>
      <c r="C110" s="13"/>
      <c r="D110" s="13"/>
      <c r="E110" s="13"/>
      <c r="F110" s="13"/>
    </row>
    <row r="111" spans="2:6" hidden="1" x14ac:dyDescent="0.2">
      <c r="B111" s="13"/>
      <c r="C111" s="13"/>
      <c r="D111" s="13"/>
      <c r="E111" s="13"/>
      <c r="F111" s="13"/>
    </row>
    <row r="112" spans="2:6" hidden="1" x14ac:dyDescent="0.2">
      <c r="B112" s="13"/>
      <c r="C112" s="13"/>
      <c r="D112" s="13"/>
      <c r="E112" s="13"/>
      <c r="F112" s="13"/>
    </row>
    <row r="113" spans="2:6" hidden="1" x14ac:dyDescent="0.2">
      <c r="B113" s="13"/>
      <c r="C113" s="13"/>
      <c r="D113" s="13"/>
      <c r="E113" s="13"/>
      <c r="F113" s="13"/>
    </row>
    <row r="114" spans="2:6" hidden="1" x14ac:dyDescent="0.2">
      <c r="B114" s="13"/>
      <c r="C114" s="13"/>
      <c r="D114" s="13"/>
      <c r="E114" s="13"/>
      <c r="F114" s="13"/>
    </row>
    <row r="115" spans="2:6" hidden="1" x14ac:dyDescent="0.2">
      <c r="B115" s="13"/>
      <c r="C115" s="13"/>
      <c r="D115" s="13"/>
      <c r="E115" s="13"/>
      <c r="F115" s="13"/>
    </row>
    <row r="116" spans="2:6" hidden="1" x14ac:dyDescent="0.2">
      <c r="B116" s="13"/>
      <c r="C116" s="13"/>
      <c r="D116" s="13"/>
      <c r="E116" s="13"/>
      <c r="F116" s="13"/>
    </row>
    <row r="117" spans="2:6" hidden="1" x14ac:dyDescent="0.2">
      <c r="B117" s="13"/>
      <c r="C117" s="13"/>
      <c r="D117" s="13"/>
      <c r="E117" s="13"/>
      <c r="F117" s="13"/>
    </row>
    <row r="118" spans="2:6" hidden="1" x14ac:dyDescent="0.2">
      <c r="B118" s="13"/>
      <c r="C118" s="13"/>
      <c r="D118" s="13"/>
      <c r="E118" s="13"/>
      <c r="F118" s="13"/>
    </row>
    <row r="119" spans="2:6" hidden="1" x14ac:dyDescent="0.2">
      <c r="B119" s="13"/>
      <c r="C119" s="13"/>
      <c r="D119" s="13"/>
      <c r="E119" s="13"/>
      <c r="F119" s="13"/>
    </row>
    <row r="120" spans="2:6" hidden="1" x14ac:dyDescent="0.2">
      <c r="B120" s="13"/>
      <c r="C120" s="13"/>
      <c r="D120" s="13"/>
      <c r="E120" s="13"/>
      <c r="F120" s="13"/>
    </row>
    <row r="121" spans="2:6" hidden="1" x14ac:dyDescent="0.2">
      <c r="B121" s="13"/>
      <c r="C121" s="13"/>
      <c r="D121" s="13"/>
      <c r="E121" s="13"/>
      <c r="F121" s="13"/>
    </row>
    <row r="122" spans="2:6" hidden="1" x14ac:dyDescent="0.2">
      <c r="B122" s="13"/>
      <c r="C122" s="13"/>
      <c r="D122" s="13"/>
      <c r="E122" s="13"/>
      <c r="F122" s="13"/>
    </row>
    <row r="123" spans="2:6" hidden="1" x14ac:dyDescent="0.2">
      <c r="B123" s="13"/>
      <c r="C123" s="13"/>
      <c r="D123" s="13"/>
      <c r="E123" s="13"/>
      <c r="F123" s="13"/>
    </row>
    <row r="124" spans="2:6" hidden="1" x14ac:dyDescent="0.2">
      <c r="B124" s="13"/>
      <c r="C124" s="13"/>
      <c r="D124" s="13"/>
      <c r="E124" s="13"/>
      <c r="F124" s="13"/>
    </row>
    <row r="125" spans="2:6" hidden="1" x14ac:dyDescent="0.2">
      <c r="B125" s="13"/>
      <c r="C125" s="13"/>
      <c r="D125" s="13"/>
      <c r="E125" s="13"/>
      <c r="F125" s="13"/>
    </row>
    <row r="126" spans="2:6" hidden="1" x14ac:dyDescent="0.2">
      <c r="B126" s="13"/>
      <c r="C126" s="13"/>
      <c r="D126" s="13"/>
      <c r="E126" s="13"/>
      <c r="F126" s="13"/>
    </row>
    <row r="127" spans="2:6" hidden="1" x14ac:dyDescent="0.2">
      <c r="B127" s="13"/>
      <c r="C127" s="13"/>
      <c r="D127" s="13"/>
      <c r="E127" s="13"/>
      <c r="F127" s="13"/>
    </row>
    <row r="128" spans="2:6" hidden="1" x14ac:dyDescent="0.2">
      <c r="B128" s="13"/>
      <c r="C128" s="13"/>
      <c r="D128" s="13"/>
      <c r="E128" s="13"/>
      <c r="F128" s="13"/>
    </row>
    <row r="129" spans="2:6" hidden="1" x14ac:dyDescent="0.2">
      <c r="B129" s="13"/>
      <c r="C129" s="13"/>
      <c r="D129" s="13"/>
      <c r="E129" s="13"/>
      <c r="F129" s="13"/>
    </row>
    <row r="130" spans="2:6" hidden="1" x14ac:dyDescent="0.2">
      <c r="B130" s="13"/>
      <c r="C130" s="13"/>
      <c r="D130" s="13"/>
      <c r="E130" s="13"/>
      <c r="F130" s="13"/>
    </row>
    <row r="131" spans="2:6" hidden="1" x14ac:dyDescent="0.2">
      <c r="B131" s="13"/>
      <c r="C131" s="13"/>
      <c r="D131" s="13"/>
      <c r="E131" s="13"/>
      <c r="F131" s="13"/>
    </row>
    <row r="132" spans="2:6" hidden="1" x14ac:dyDescent="0.2">
      <c r="B132" s="13"/>
      <c r="C132" s="13"/>
      <c r="D132" s="13"/>
      <c r="E132" s="13"/>
      <c r="F132" s="13"/>
    </row>
    <row r="133" spans="2:6" hidden="1" x14ac:dyDescent="0.2">
      <c r="B133" s="13"/>
      <c r="C133" s="13"/>
      <c r="D133" s="13"/>
      <c r="E133" s="13"/>
      <c r="F133" s="13"/>
    </row>
    <row r="134" spans="2:6" hidden="1" x14ac:dyDescent="0.2">
      <c r="B134" s="13"/>
      <c r="C134" s="13"/>
      <c r="D134" s="13"/>
      <c r="E134" s="13"/>
      <c r="F134" s="13"/>
    </row>
    <row r="135" spans="2:6" hidden="1" x14ac:dyDescent="0.2">
      <c r="B135" s="13"/>
      <c r="C135" s="13"/>
      <c r="D135" s="13"/>
      <c r="E135" s="13"/>
      <c r="F135" s="13"/>
    </row>
    <row r="136" spans="2:6" hidden="1" x14ac:dyDescent="0.2">
      <c r="B136" s="13"/>
      <c r="C136" s="13"/>
      <c r="D136" s="13"/>
      <c r="E136" s="13"/>
      <c r="F136" s="13"/>
    </row>
    <row r="137" spans="2:6" hidden="1" x14ac:dyDescent="0.2">
      <c r="B137" s="13"/>
      <c r="C137" s="13"/>
      <c r="D137" s="13"/>
      <c r="E137" s="13"/>
      <c r="F137" s="13"/>
    </row>
    <row r="138" spans="2:6" hidden="1" x14ac:dyDescent="0.2">
      <c r="B138" s="13"/>
      <c r="C138" s="13"/>
      <c r="D138" s="13"/>
      <c r="E138" s="13"/>
      <c r="F138" s="13"/>
    </row>
    <row r="139" spans="2:6" hidden="1" x14ac:dyDescent="0.2">
      <c r="B139" s="13"/>
      <c r="C139" s="13"/>
      <c r="D139" s="13"/>
      <c r="E139" s="13"/>
      <c r="F139" s="13"/>
    </row>
    <row r="140" spans="2:6" hidden="1" x14ac:dyDescent="0.2">
      <c r="B140" s="13"/>
      <c r="C140" s="13"/>
      <c r="D140" s="13"/>
      <c r="E140" s="13"/>
      <c r="F140" s="13"/>
    </row>
    <row r="141" spans="2:6" hidden="1" x14ac:dyDescent="0.2">
      <c r="B141" s="13"/>
      <c r="C141" s="13"/>
      <c r="D141" s="13"/>
      <c r="E141" s="13"/>
      <c r="F141" s="13"/>
    </row>
    <row r="142" spans="2:6" hidden="1" x14ac:dyDescent="0.2">
      <c r="B142" s="13"/>
      <c r="C142" s="13"/>
      <c r="D142" s="13"/>
      <c r="E142" s="13"/>
      <c r="F142" s="13"/>
    </row>
    <row r="143" spans="2:6" hidden="1" x14ac:dyDescent="0.2">
      <c r="B143" s="13"/>
      <c r="C143" s="13"/>
      <c r="D143" s="13"/>
      <c r="E143" s="13"/>
      <c r="F143" s="13"/>
    </row>
    <row r="144" spans="2:6" hidden="1" x14ac:dyDescent="0.2">
      <c r="B144" s="13"/>
      <c r="C144" s="13"/>
      <c r="D144" s="13"/>
      <c r="E144" s="13"/>
      <c r="F144" s="13"/>
    </row>
    <row r="145" spans="2:6" hidden="1" x14ac:dyDescent="0.2">
      <c r="B145" s="13"/>
      <c r="C145" s="13"/>
      <c r="D145" s="13"/>
      <c r="E145" s="13"/>
      <c r="F145" s="13"/>
    </row>
    <row r="146" spans="2:6" hidden="1" x14ac:dyDescent="0.2">
      <c r="B146" s="13"/>
      <c r="C146" s="13"/>
      <c r="D146" s="13"/>
      <c r="E146" s="13"/>
      <c r="F146" s="13"/>
    </row>
    <row r="147" spans="2:6" hidden="1" x14ac:dyDescent="0.2">
      <c r="B147" s="13"/>
      <c r="C147" s="13"/>
      <c r="D147" s="13"/>
      <c r="E147" s="13"/>
      <c r="F147" s="13"/>
    </row>
    <row r="148" spans="2:6" hidden="1" x14ac:dyDescent="0.2">
      <c r="B148" s="13"/>
      <c r="C148" s="13"/>
      <c r="D148" s="13"/>
      <c r="E148" s="13"/>
      <c r="F148" s="13"/>
    </row>
    <row r="149" spans="2:6" hidden="1" x14ac:dyDescent="0.2">
      <c r="B149" s="13"/>
      <c r="C149" s="13"/>
      <c r="D149" s="13"/>
      <c r="E149" s="13"/>
      <c r="F149" s="13"/>
    </row>
    <row r="150" spans="2:6" hidden="1" x14ac:dyDescent="0.2">
      <c r="B150" s="13"/>
      <c r="C150" s="13"/>
      <c r="D150" s="13"/>
      <c r="E150" s="13"/>
      <c r="F150" s="13"/>
    </row>
    <row r="151" spans="2:6" hidden="1" x14ac:dyDescent="0.2">
      <c r="B151" s="13"/>
      <c r="C151" s="13"/>
      <c r="D151" s="13"/>
      <c r="E151" s="13"/>
      <c r="F151" s="13"/>
    </row>
    <row r="152" spans="2:6" hidden="1" x14ac:dyDescent="0.2">
      <c r="B152" s="13"/>
      <c r="C152" s="13"/>
      <c r="D152" s="13"/>
      <c r="E152" s="13"/>
      <c r="F152" s="13"/>
    </row>
    <row r="153" spans="2:6" hidden="1" x14ac:dyDescent="0.2">
      <c r="B153" s="13"/>
      <c r="C153" s="13"/>
      <c r="D153" s="13"/>
      <c r="E153" s="13"/>
      <c r="F153" s="13"/>
    </row>
    <row r="154" spans="2:6" hidden="1" x14ac:dyDescent="0.2">
      <c r="B154" s="13"/>
      <c r="C154" s="13"/>
      <c r="D154" s="13"/>
      <c r="E154" s="13"/>
      <c r="F154" s="13"/>
    </row>
    <row r="155" spans="2:6" hidden="1" x14ac:dyDescent="0.2">
      <c r="B155" s="13"/>
      <c r="C155" s="13"/>
      <c r="D155" s="13"/>
      <c r="E155" s="13"/>
      <c r="F155" s="13"/>
    </row>
    <row r="156" spans="2:6" hidden="1" x14ac:dyDescent="0.2">
      <c r="B156" s="13"/>
      <c r="C156" s="13"/>
      <c r="D156" s="13"/>
      <c r="E156" s="13"/>
      <c r="F156" s="13"/>
    </row>
    <row r="157" spans="2:6" hidden="1" x14ac:dyDescent="0.2">
      <c r="B157" s="13"/>
      <c r="C157" s="13"/>
      <c r="D157" s="13"/>
      <c r="E157" s="13"/>
      <c r="F157" s="13"/>
    </row>
    <row r="158" spans="2:6" hidden="1" x14ac:dyDescent="0.2">
      <c r="B158" s="13"/>
      <c r="C158" s="13"/>
      <c r="D158" s="13"/>
      <c r="E158" s="13"/>
      <c r="F158" s="13"/>
    </row>
    <row r="159" spans="2:6" hidden="1" x14ac:dyDescent="0.2">
      <c r="B159" s="13"/>
      <c r="C159" s="13"/>
      <c r="D159" s="13"/>
      <c r="E159" s="13"/>
      <c r="F159" s="13"/>
    </row>
    <row r="160" spans="2:6" hidden="1" x14ac:dyDescent="0.2">
      <c r="B160" s="13"/>
      <c r="C160" s="13"/>
      <c r="D160" s="13"/>
      <c r="E160" s="13"/>
      <c r="F160" s="13"/>
    </row>
    <row r="161" spans="2:6" hidden="1" x14ac:dyDescent="0.2">
      <c r="B161" s="13"/>
      <c r="C161" s="13"/>
      <c r="D161" s="13"/>
      <c r="E161" s="13"/>
      <c r="F161" s="13"/>
    </row>
    <row r="162" spans="2:6" hidden="1" x14ac:dyDescent="0.2">
      <c r="B162" s="13"/>
      <c r="C162" s="13"/>
      <c r="D162" s="13"/>
      <c r="E162" s="13"/>
      <c r="F162" s="13"/>
    </row>
    <row r="163" spans="2:6" hidden="1" x14ac:dyDescent="0.2">
      <c r="B163" s="13"/>
      <c r="C163" s="13"/>
      <c r="D163" s="13"/>
      <c r="E163" s="13"/>
      <c r="F163" s="13"/>
    </row>
    <row r="164" spans="2:6" hidden="1" x14ac:dyDescent="0.2">
      <c r="B164" s="13"/>
      <c r="C164" s="13"/>
      <c r="D164" s="13"/>
      <c r="E164" s="13"/>
      <c r="F164" s="13"/>
    </row>
    <row r="165" spans="2:6" hidden="1" x14ac:dyDescent="0.2">
      <c r="B165" s="13"/>
      <c r="C165" s="13"/>
      <c r="D165" s="13"/>
      <c r="E165" s="13"/>
      <c r="F165" s="13"/>
    </row>
    <row r="166" spans="2:6" hidden="1" x14ac:dyDescent="0.2">
      <c r="B166" s="13"/>
      <c r="C166" s="13"/>
      <c r="D166" s="13"/>
      <c r="E166" s="13"/>
      <c r="F166" s="13"/>
    </row>
    <row r="167" spans="2:6" hidden="1" x14ac:dyDescent="0.2">
      <c r="B167" s="13"/>
      <c r="C167" s="13"/>
      <c r="D167" s="13"/>
      <c r="E167" s="13"/>
      <c r="F167" s="13"/>
    </row>
    <row r="168" spans="2:6" hidden="1" x14ac:dyDescent="0.2">
      <c r="B168" s="13"/>
      <c r="C168" s="13"/>
      <c r="D168" s="13"/>
      <c r="E168" s="13"/>
      <c r="F168" s="13"/>
    </row>
    <row r="169" spans="2:6" hidden="1" x14ac:dyDescent="0.2">
      <c r="B169" s="13"/>
      <c r="C169" s="13"/>
      <c r="D169" s="13"/>
      <c r="E169" s="13"/>
      <c r="F169" s="13"/>
    </row>
    <row r="170" spans="2:6" hidden="1" x14ac:dyDescent="0.2">
      <c r="B170" s="13"/>
      <c r="C170" s="13"/>
      <c r="D170" s="13"/>
      <c r="E170" s="13"/>
      <c r="F170" s="13"/>
    </row>
    <row r="171" spans="2:6" hidden="1" x14ac:dyDescent="0.2">
      <c r="B171" s="13"/>
      <c r="C171" s="13"/>
      <c r="D171" s="13"/>
      <c r="E171" s="13"/>
      <c r="F171" s="13"/>
    </row>
    <row r="172" spans="2:6" hidden="1" x14ac:dyDescent="0.2">
      <c r="B172" s="13"/>
      <c r="C172" s="13"/>
      <c r="D172" s="13"/>
      <c r="E172" s="13"/>
      <c r="F172" s="13"/>
    </row>
    <row r="173" spans="2:6" hidden="1" x14ac:dyDescent="0.2">
      <c r="B173" s="13"/>
      <c r="C173" s="13"/>
      <c r="D173" s="13"/>
      <c r="E173" s="13"/>
      <c r="F173" s="13"/>
    </row>
    <row r="174" spans="2:6" hidden="1" x14ac:dyDescent="0.2">
      <c r="B174" s="13"/>
      <c r="C174" s="13"/>
      <c r="D174" s="13"/>
      <c r="E174" s="13"/>
      <c r="F174" s="13"/>
    </row>
    <row r="175" spans="2:6" hidden="1" x14ac:dyDescent="0.2">
      <c r="B175" s="13"/>
      <c r="C175" s="13"/>
      <c r="D175" s="13"/>
      <c r="E175" s="13"/>
      <c r="F175" s="13"/>
    </row>
    <row r="176" spans="2:6" hidden="1" x14ac:dyDescent="0.2">
      <c r="B176" s="13"/>
      <c r="C176" s="13"/>
      <c r="D176" s="13"/>
      <c r="E176" s="13"/>
      <c r="F176" s="13"/>
    </row>
    <row r="177" spans="2:6" hidden="1" x14ac:dyDescent="0.2">
      <c r="B177" s="13"/>
      <c r="C177" s="13"/>
      <c r="D177" s="13"/>
      <c r="E177" s="13"/>
      <c r="F177" s="13"/>
    </row>
    <row r="178" spans="2:6" hidden="1" x14ac:dyDescent="0.2">
      <c r="B178" s="13"/>
      <c r="C178" s="13"/>
      <c r="D178" s="13"/>
      <c r="E178" s="13"/>
      <c r="F178" s="13"/>
    </row>
    <row r="179" spans="2:6" hidden="1" x14ac:dyDescent="0.2">
      <c r="B179" s="13"/>
      <c r="C179" s="13"/>
      <c r="D179" s="13"/>
      <c r="E179" s="13"/>
      <c r="F179" s="13"/>
    </row>
    <row r="180" spans="2:6" hidden="1" x14ac:dyDescent="0.2">
      <c r="B180" s="13"/>
      <c r="C180" s="13"/>
      <c r="D180" s="13"/>
      <c r="E180" s="13"/>
      <c r="F180" s="13"/>
    </row>
    <row r="181" spans="2:6" hidden="1" x14ac:dyDescent="0.2">
      <c r="B181" s="13"/>
      <c r="C181" s="13"/>
      <c r="D181" s="13"/>
      <c r="E181" s="13"/>
      <c r="F181" s="13"/>
    </row>
    <row r="182" spans="2:6" hidden="1" x14ac:dyDescent="0.2">
      <c r="B182" s="13"/>
      <c r="C182" s="13"/>
      <c r="D182" s="13"/>
      <c r="E182" s="13"/>
      <c r="F182" s="13"/>
    </row>
    <row r="183" spans="2:6" hidden="1" x14ac:dyDescent="0.2">
      <c r="B183" s="13"/>
      <c r="C183" s="13"/>
      <c r="D183" s="13"/>
      <c r="E183" s="13"/>
      <c r="F183" s="13"/>
    </row>
    <row r="184" spans="2:6" hidden="1" x14ac:dyDescent="0.2">
      <c r="B184" s="13"/>
      <c r="C184" s="13"/>
      <c r="D184" s="13"/>
      <c r="E184" s="13"/>
      <c r="F184" s="13"/>
    </row>
    <row r="185" spans="2:6" hidden="1" x14ac:dyDescent="0.2">
      <c r="B185" s="13"/>
      <c r="C185" s="13"/>
      <c r="D185" s="13"/>
      <c r="E185" s="13"/>
      <c r="F185" s="13"/>
    </row>
    <row r="186" spans="2:6" hidden="1" x14ac:dyDescent="0.2">
      <c r="B186" s="13"/>
      <c r="C186" s="13"/>
      <c r="D186" s="13"/>
      <c r="E186" s="13"/>
      <c r="F186" s="13"/>
    </row>
    <row r="187" spans="2:6" hidden="1" x14ac:dyDescent="0.2">
      <c r="B187" s="13"/>
      <c r="C187" s="13"/>
      <c r="D187" s="13"/>
      <c r="E187" s="13"/>
      <c r="F187" s="13"/>
    </row>
    <row r="188" spans="2:6" hidden="1" x14ac:dyDescent="0.2">
      <c r="B188" s="13"/>
      <c r="C188" s="13"/>
      <c r="D188" s="13"/>
      <c r="E188" s="13"/>
      <c r="F188" s="13"/>
    </row>
    <row r="189" spans="2:6" hidden="1" x14ac:dyDescent="0.2">
      <c r="B189" s="13"/>
      <c r="C189" s="13"/>
      <c r="D189" s="13"/>
      <c r="E189" s="13"/>
      <c r="F189" s="13"/>
    </row>
    <row r="190" spans="2:6" hidden="1" x14ac:dyDescent="0.2">
      <c r="B190" s="13"/>
      <c r="C190" s="13"/>
      <c r="D190" s="13"/>
      <c r="E190" s="13"/>
      <c r="F190" s="13"/>
    </row>
    <row r="191" spans="2:6" hidden="1" x14ac:dyDescent="0.2">
      <c r="B191" s="13"/>
      <c r="C191" s="13"/>
      <c r="D191" s="13"/>
      <c r="E191" s="13"/>
      <c r="F191" s="13"/>
    </row>
    <row r="192" spans="2:6" hidden="1" x14ac:dyDescent="0.2">
      <c r="B192" s="13"/>
      <c r="C192" s="13"/>
      <c r="D192" s="13"/>
      <c r="E192" s="13"/>
      <c r="F192" s="13"/>
    </row>
    <row r="193" spans="2:6" hidden="1" x14ac:dyDescent="0.2">
      <c r="B193" s="13"/>
      <c r="C193" s="13"/>
      <c r="D193" s="13"/>
      <c r="E193" s="13"/>
      <c r="F193" s="13"/>
    </row>
    <row r="194" spans="2:6" hidden="1" x14ac:dyDescent="0.2">
      <c r="B194" s="13"/>
      <c r="C194" s="13"/>
      <c r="D194" s="13"/>
      <c r="E194" s="13"/>
      <c r="F194" s="13"/>
    </row>
    <row r="195" spans="2:6" hidden="1" x14ac:dyDescent="0.2">
      <c r="B195" s="13"/>
      <c r="C195" s="13"/>
      <c r="D195" s="13"/>
      <c r="E195" s="13"/>
      <c r="F195" s="13"/>
    </row>
    <row r="196" spans="2:6" hidden="1" x14ac:dyDescent="0.2">
      <c r="B196" s="13"/>
      <c r="C196" s="13"/>
      <c r="D196" s="13"/>
      <c r="E196" s="13"/>
      <c r="F196" s="13"/>
    </row>
    <row r="197" spans="2:6" hidden="1" x14ac:dyDescent="0.2">
      <c r="B197" s="13"/>
      <c r="C197" s="13"/>
      <c r="D197" s="13"/>
      <c r="E197" s="13"/>
      <c r="F197" s="13"/>
    </row>
    <row r="198" spans="2:6" hidden="1" x14ac:dyDescent="0.2">
      <c r="B198" s="13"/>
      <c r="C198" s="13"/>
      <c r="D198" s="13"/>
      <c r="E198" s="13"/>
      <c r="F198" s="13"/>
    </row>
    <row r="199" spans="2:6" hidden="1" x14ac:dyDescent="0.2">
      <c r="B199" s="13"/>
      <c r="C199" s="13"/>
      <c r="D199" s="13"/>
      <c r="E199" s="13"/>
      <c r="F199" s="13"/>
    </row>
    <row r="200" spans="2:6" hidden="1" x14ac:dyDescent="0.2">
      <c r="B200" s="13"/>
      <c r="C200" s="13"/>
      <c r="D200" s="13"/>
      <c r="E200" s="13"/>
      <c r="F200" s="13"/>
    </row>
    <row r="201" spans="2:6" hidden="1" x14ac:dyDescent="0.2">
      <c r="B201" s="13"/>
      <c r="C201" s="13"/>
      <c r="D201" s="13"/>
      <c r="E201" s="13"/>
      <c r="F201" s="13"/>
    </row>
    <row r="202" spans="2:6" hidden="1" x14ac:dyDescent="0.2">
      <c r="B202" s="13"/>
      <c r="C202" s="13"/>
      <c r="D202" s="13"/>
      <c r="E202" s="13"/>
      <c r="F202" s="13"/>
    </row>
    <row r="203" spans="2:6" hidden="1" x14ac:dyDescent="0.2">
      <c r="B203" s="13"/>
      <c r="C203" s="13"/>
      <c r="D203" s="13"/>
      <c r="E203" s="13"/>
      <c r="F203" s="13"/>
    </row>
    <row r="204" spans="2:6" hidden="1" x14ac:dyDescent="0.2">
      <c r="B204" s="13"/>
      <c r="C204" s="13"/>
      <c r="D204" s="13"/>
      <c r="E204" s="13"/>
      <c r="F204" s="13"/>
    </row>
    <row r="205" spans="2:6" hidden="1" x14ac:dyDescent="0.2">
      <c r="B205" s="13"/>
      <c r="C205" s="13"/>
      <c r="D205" s="13"/>
      <c r="E205" s="13"/>
      <c r="F205" s="13"/>
    </row>
    <row r="206" spans="2:6" hidden="1" x14ac:dyDescent="0.2">
      <c r="B206" s="13"/>
      <c r="C206" s="13"/>
      <c r="D206" s="13"/>
      <c r="E206" s="13"/>
      <c r="F206" s="13"/>
    </row>
    <row r="207" spans="2:6" hidden="1" x14ac:dyDescent="0.2">
      <c r="B207" s="13"/>
      <c r="C207" s="13"/>
      <c r="D207" s="13"/>
      <c r="E207" s="13"/>
      <c r="F207" s="13"/>
    </row>
    <row r="208" spans="2:6" hidden="1" x14ac:dyDescent="0.2">
      <c r="B208" s="13"/>
      <c r="C208" s="13"/>
      <c r="D208" s="13"/>
      <c r="E208" s="13"/>
      <c r="F208" s="13"/>
    </row>
    <row r="209" spans="2:6" hidden="1" x14ac:dyDescent="0.2">
      <c r="B209" s="13"/>
      <c r="C209" s="13"/>
      <c r="D209" s="13"/>
      <c r="E209" s="13"/>
      <c r="F209" s="13"/>
    </row>
    <row r="210" spans="2:6" hidden="1" x14ac:dyDescent="0.2">
      <c r="B210" s="13"/>
      <c r="C210" s="13"/>
      <c r="D210" s="13"/>
      <c r="E210" s="13"/>
      <c r="F210" s="13"/>
    </row>
    <row r="211" spans="2:6" hidden="1" x14ac:dyDescent="0.2">
      <c r="B211" s="13"/>
      <c r="C211" s="13"/>
      <c r="D211" s="13"/>
      <c r="E211" s="13"/>
      <c r="F211" s="13"/>
    </row>
    <row r="212" spans="2:6" hidden="1" x14ac:dyDescent="0.2">
      <c r="B212" s="13"/>
      <c r="C212" s="13"/>
      <c r="D212" s="13"/>
      <c r="E212" s="13"/>
      <c r="F212" s="13"/>
    </row>
    <row r="213" spans="2:6" hidden="1" x14ac:dyDescent="0.2">
      <c r="B213" s="13"/>
      <c r="C213" s="13"/>
      <c r="D213" s="13"/>
      <c r="E213" s="13"/>
      <c r="F213" s="13"/>
    </row>
    <row r="214" spans="2:6" hidden="1" x14ac:dyDescent="0.2">
      <c r="B214" s="13"/>
      <c r="C214" s="13"/>
      <c r="D214" s="13"/>
      <c r="E214" s="13"/>
      <c r="F214" s="13"/>
    </row>
    <row r="215" spans="2:6" hidden="1" x14ac:dyDescent="0.2">
      <c r="B215" s="13"/>
      <c r="C215" s="13"/>
      <c r="D215" s="13"/>
      <c r="E215" s="13"/>
      <c r="F215" s="13"/>
    </row>
    <row r="216" spans="2:6" hidden="1" x14ac:dyDescent="0.2">
      <c r="B216" s="13"/>
      <c r="C216" s="13"/>
      <c r="D216" s="13"/>
      <c r="E216" s="13"/>
      <c r="F216" s="13"/>
    </row>
    <row r="217" spans="2:6" hidden="1" x14ac:dyDescent="0.2">
      <c r="B217" s="13"/>
      <c r="C217" s="13"/>
      <c r="D217" s="13"/>
      <c r="E217" s="13"/>
      <c r="F217" s="13"/>
    </row>
    <row r="218" spans="2:6" hidden="1" x14ac:dyDescent="0.2">
      <c r="B218" s="13"/>
      <c r="C218" s="13"/>
      <c r="D218" s="13"/>
      <c r="E218" s="13"/>
      <c r="F218" s="13"/>
    </row>
    <row r="219" spans="2:6" hidden="1" x14ac:dyDescent="0.2">
      <c r="B219" s="13"/>
      <c r="C219" s="13"/>
      <c r="D219" s="13"/>
      <c r="E219" s="13"/>
      <c r="F219" s="13"/>
    </row>
    <row r="220" spans="2:6" hidden="1" x14ac:dyDescent="0.2">
      <c r="B220" s="13"/>
      <c r="C220" s="13"/>
      <c r="D220" s="13"/>
      <c r="E220" s="13"/>
      <c r="F220" s="13"/>
    </row>
    <row r="221" spans="2:6" hidden="1" x14ac:dyDescent="0.2">
      <c r="B221" s="13"/>
      <c r="C221" s="13"/>
      <c r="D221" s="13"/>
      <c r="E221" s="13"/>
      <c r="F221" s="13"/>
    </row>
    <row r="222" spans="2:6" hidden="1" x14ac:dyDescent="0.2">
      <c r="B222" s="13"/>
      <c r="C222" s="13"/>
      <c r="D222" s="13"/>
      <c r="E222" s="13"/>
      <c r="F222" s="13"/>
    </row>
    <row r="223" spans="2:6" hidden="1" x14ac:dyDescent="0.2">
      <c r="B223" s="13"/>
      <c r="C223" s="13"/>
      <c r="D223" s="13"/>
      <c r="E223" s="13"/>
      <c r="F223" s="13"/>
    </row>
    <row r="224" spans="2:6" hidden="1" x14ac:dyDescent="0.2">
      <c r="B224" s="13"/>
      <c r="C224" s="13"/>
      <c r="D224" s="13"/>
      <c r="E224" s="13"/>
      <c r="F224" s="13"/>
    </row>
    <row r="225" spans="2:6" hidden="1" x14ac:dyDescent="0.2">
      <c r="B225" s="13"/>
      <c r="C225" s="13"/>
      <c r="D225" s="13"/>
      <c r="E225" s="13"/>
      <c r="F225" s="13"/>
    </row>
    <row r="226" spans="2:6" hidden="1" x14ac:dyDescent="0.2">
      <c r="B226" s="13"/>
      <c r="C226" s="13"/>
      <c r="D226" s="13"/>
      <c r="E226" s="13"/>
      <c r="F226" s="13"/>
    </row>
    <row r="227" spans="2:6" hidden="1" x14ac:dyDescent="0.2">
      <c r="B227" s="13"/>
      <c r="C227" s="13"/>
      <c r="D227" s="13"/>
      <c r="E227" s="13"/>
      <c r="F227" s="13"/>
    </row>
    <row r="228" spans="2:6" hidden="1" x14ac:dyDescent="0.2">
      <c r="B228" s="13"/>
      <c r="C228" s="13"/>
      <c r="D228" s="13"/>
      <c r="E228" s="13"/>
      <c r="F228" s="13"/>
    </row>
    <row r="229" spans="2:6" hidden="1" x14ac:dyDescent="0.2">
      <c r="B229" s="13"/>
      <c r="C229" s="13"/>
      <c r="D229" s="13"/>
      <c r="E229" s="13"/>
      <c r="F229" s="13"/>
    </row>
    <row r="230" spans="2:6" hidden="1" x14ac:dyDescent="0.2">
      <c r="B230" s="13"/>
      <c r="C230" s="13"/>
      <c r="D230" s="13"/>
      <c r="E230" s="13"/>
      <c r="F230" s="13"/>
    </row>
    <row r="231" spans="2:6" hidden="1" x14ac:dyDescent="0.2">
      <c r="B231" s="13"/>
      <c r="C231" s="13"/>
      <c r="D231" s="13"/>
      <c r="E231" s="13"/>
      <c r="F231" s="13"/>
    </row>
    <row r="232" spans="2:6" hidden="1" x14ac:dyDescent="0.2">
      <c r="B232" s="13"/>
      <c r="C232" s="13"/>
      <c r="D232" s="13"/>
      <c r="E232" s="13"/>
      <c r="F232" s="13"/>
    </row>
    <row r="233" spans="2:6" hidden="1" x14ac:dyDescent="0.2">
      <c r="B233" s="13"/>
      <c r="C233" s="13"/>
      <c r="D233" s="13"/>
      <c r="E233" s="13"/>
      <c r="F233" s="13"/>
    </row>
    <row r="234" spans="2:6" hidden="1" x14ac:dyDescent="0.2">
      <c r="B234" s="13"/>
      <c r="C234" s="13"/>
      <c r="D234" s="13"/>
      <c r="E234" s="13"/>
      <c r="F234" s="13"/>
    </row>
    <row r="235" spans="2:6" hidden="1" x14ac:dyDescent="0.2">
      <c r="B235" s="13"/>
      <c r="C235" s="13"/>
      <c r="D235" s="13"/>
      <c r="E235" s="13"/>
      <c r="F235" s="13"/>
    </row>
    <row r="236" spans="2:6" hidden="1" x14ac:dyDescent="0.2">
      <c r="B236" s="13"/>
      <c r="C236" s="13"/>
      <c r="D236" s="13"/>
      <c r="E236" s="13"/>
      <c r="F236" s="13"/>
    </row>
    <row r="237" spans="2:6" hidden="1" x14ac:dyDescent="0.2">
      <c r="B237" s="13"/>
      <c r="C237" s="13"/>
      <c r="D237" s="13"/>
      <c r="E237" s="13"/>
      <c r="F237" s="13"/>
    </row>
    <row r="238" spans="2:6" hidden="1" x14ac:dyDescent="0.2">
      <c r="B238" s="13"/>
      <c r="C238" s="13"/>
      <c r="D238" s="13"/>
      <c r="E238" s="13"/>
      <c r="F238" s="13"/>
    </row>
    <row r="239" spans="2:6" hidden="1" x14ac:dyDescent="0.2">
      <c r="B239" s="13"/>
      <c r="C239" s="13"/>
      <c r="D239" s="13"/>
      <c r="E239" s="13"/>
      <c r="F239" s="13"/>
    </row>
    <row r="240" spans="2:6" hidden="1" x14ac:dyDescent="0.2">
      <c r="B240" s="13"/>
      <c r="C240" s="13"/>
      <c r="D240" s="13"/>
      <c r="E240" s="13"/>
      <c r="F240" s="13"/>
    </row>
    <row r="241" spans="2:6" hidden="1" x14ac:dyDescent="0.2">
      <c r="B241" s="13"/>
      <c r="C241" s="13"/>
      <c r="D241" s="13"/>
      <c r="E241" s="13"/>
      <c r="F241" s="13"/>
    </row>
    <row r="242" spans="2:6" hidden="1" x14ac:dyDescent="0.2">
      <c r="B242" s="13"/>
      <c r="C242" s="13"/>
      <c r="D242" s="13"/>
      <c r="E242" s="13"/>
      <c r="F242" s="13"/>
    </row>
    <row r="243" spans="2:6" hidden="1" x14ac:dyDescent="0.2">
      <c r="B243" s="13"/>
      <c r="C243" s="13"/>
      <c r="D243" s="13"/>
      <c r="E243" s="13"/>
      <c r="F243" s="13"/>
    </row>
    <row r="244" spans="2:6" hidden="1" x14ac:dyDescent="0.2">
      <c r="B244" s="13"/>
      <c r="C244" s="13"/>
      <c r="D244" s="13"/>
      <c r="E244" s="13"/>
      <c r="F244" s="13"/>
    </row>
    <row r="245" spans="2:6" hidden="1" x14ac:dyDescent="0.2">
      <c r="B245" s="13"/>
      <c r="C245" s="13"/>
      <c r="D245" s="13"/>
      <c r="E245" s="13"/>
      <c r="F245" s="13"/>
    </row>
    <row r="246" spans="2:6" hidden="1" x14ac:dyDescent="0.2">
      <c r="B246" s="13"/>
      <c r="C246" s="13"/>
      <c r="D246" s="13"/>
      <c r="E246" s="13"/>
      <c r="F246" s="13"/>
    </row>
    <row r="247" spans="2:6" hidden="1" x14ac:dyDescent="0.2">
      <c r="B247" s="13"/>
      <c r="C247" s="13"/>
      <c r="D247" s="13"/>
      <c r="E247" s="13"/>
      <c r="F247" s="13"/>
    </row>
    <row r="248" spans="2:6" hidden="1" x14ac:dyDescent="0.2">
      <c r="B248" s="13"/>
      <c r="C248" s="13"/>
      <c r="D248" s="13"/>
      <c r="E248" s="13"/>
      <c r="F248" s="13"/>
    </row>
    <row r="249" spans="2:6" hidden="1" x14ac:dyDescent="0.2">
      <c r="B249" s="13"/>
      <c r="C249" s="13"/>
      <c r="D249" s="13"/>
      <c r="E249" s="13"/>
      <c r="F249" s="13"/>
    </row>
    <row r="250" spans="2:6" hidden="1" x14ac:dyDescent="0.2">
      <c r="B250" s="13"/>
      <c r="C250" s="13"/>
      <c r="D250" s="13"/>
      <c r="E250" s="13"/>
      <c r="F250" s="13"/>
    </row>
    <row r="251" spans="2:6" hidden="1" x14ac:dyDescent="0.2">
      <c r="B251" s="13"/>
      <c r="C251" s="13"/>
      <c r="D251" s="13"/>
      <c r="E251" s="13"/>
      <c r="F251" s="13"/>
    </row>
    <row r="252" spans="2:6" hidden="1" x14ac:dyDescent="0.2">
      <c r="B252" s="13"/>
      <c r="C252" s="13"/>
      <c r="D252" s="13"/>
      <c r="E252" s="13"/>
      <c r="F252" s="13"/>
    </row>
    <row r="253" spans="2:6" hidden="1" x14ac:dyDescent="0.2">
      <c r="B253" s="13"/>
      <c r="C253" s="13"/>
      <c r="D253" s="13"/>
      <c r="E253" s="13"/>
      <c r="F253" s="13"/>
    </row>
    <row r="254" spans="2:6" hidden="1" x14ac:dyDescent="0.2">
      <c r="B254" s="13"/>
      <c r="C254" s="13"/>
      <c r="D254" s="13"/>
      <c r="E254" s="13"/>
      <c r="F254" s="13"/>
    </row>
    <row r="255" spans="2:6" hidden="1" x14ac:dyDescent="0.2">
      <c r="B255" s="13"/>
      <c r="C255" s="13"/>
      <c r="D255" s="13"/>
      <c r="E255" s="13"/>
      <c r="F255" s="13"/>
    </row>
    <row r="256" spans="2:6" hidden="1" x14ac:dyDescent="0.2">
      <c r="B256" s="13"/>
      <c r="C256" s="13"/>
      <c r="D256" s="13"/>
      <c r="E256" s="13"/>
      <c r="F256" s="13"/>
    </row>
    <row r="257" spans="2:6" hidden="1" x14ac:dyDescent="0.2">
      <c r="B257" s="13"/>
      <c r="C257" s="13"/>
      <c r="D257" s="13"/>
      <c r="E257" s="13"/>
      <c r="F257" s="13"/>
    </row>
    <row r="258" spans="2:6" hidden="1" x14ac:dyDescent="0.2">
      <c r="B258" s="13"/>
      <c r="C258" s="13"/>
      <c r="D258" s="13"/>
      <c r="E258" s="13"/>
      <c r="F258" s="13"/>
    </row>
    <row r="259" spans="2:6" hidden="1" x14ac:dyDescent="0.2">
      <c r="B259" s="13"/>
      <c r="C259" s="13"/>
      <c r="D259" s="13"/>
      <c r="E259" s="13"/>
      <c r="F259" s="13"/>
    </row>
    <row r="260" spans="2:6" hidden="1" x14ac:dyDescent="0.2">
      <c r="B260" s="13"/>
      <c r="C260" s="13"/>
      <c r="D260" s="13"/>
      <c r="E260" s="13"/>
      <c r="F260" s="13"/>
    </row>
    <row r="261" spans="2:6" hidden="1" x14ac:dyDescent="0.2">
      <c r="B261" s="13"/>
      <c r="C261" s="13"/>
      <c r="D261" s="13"/>
      <c r="E261" s="13"/>
      <c r="F261" s="13"/>
    </row>
    <row r="262" spans="2:6" hidden="1" x14ac:dyDescent="0.2">
      <c r="B262" s="13"/>
      <c r="C262" s="13"/>
      <c r="D262" s="13"/>
      <c r="E262" s="13"/>
      <c r="F262" s="13"/>
    </row>
    <row r="263" spans="2:6" hidden="1" x14ac:dyDescent="0.2">
      <c r="B263" s="13"/>
      <c r="C263" s="13"/>
      <c r="D263" s="13"/>
      <c r="E263" s="13"/>
      <c r="F263" s="13"/>
    </row>
    <row r="264" spans="2:6" hidden="1" x14ac:dyDescent="0.2">
      <c r="B264" s="13"/>
      <c r="C264" s="13"/>
      <c r="D264" s="13"/>
      <c r="E264" s="13"/>
      <c r="F264" s="13"/>
    </row>
    <row r="265" spans="2:6" hidden="1" x14ac:dyDescent="0.2">
      <c r="B265" s="13"/>
      <c r="C265" s="13"/>
      <c r="D265" s="13"/>
      <c r="E265" s="13"/>
      <c r="F265" s="13"/>
    </row>
    <row r="266" spans="2:6" hidden="1" x14ac:dyDescent="0.2">
      <c r="B266" s="13"/>
      <c r="C266" s="13"/>
      <c r="D266" s="13"/>
      <c r="E266" s="13"/>
      <c r="F266" s="13"/>
    </row>
    <row r="267" spans="2:6" hidden="1" x14ac:dyDescent="0.2">
      <c r="B267" s="13"/>
      <c r="C267" s="13"/>
      <c r="D267" s="13"/>
      <c r="E267" s="13"/>
      <c r="F267" s="13"/>
    </row>
    <row r="268" spans="2:6" hidden="1" x14ac:dyDescent="0.2">
      <c r="B268" s="13"/>
      <c r="C268" s="13"/>
      <c r="D268" s="13"/>
      <c r="E268" s="13"/>
      <c r="F268" s="13"/>
    </row>
    <row r="269" spans="2:6" hidden="1" x14ac:dyDescent="0.2">
      <c r="B269" s="13"/>
      <c r="C269" s="13"/>
      <c r="D269" s="13"/>
      <c r="E269" s="13"/>
      <c r="F269" s="13"/>
    </row>
    <row r="270" spans="2:6" hidden="1" x14ac:dyDescent="0.2">
      <c r="B270" s="13"/>
      <c r="C270" s="13"/>
      <c r="D270" s="13"/>
      <c r="E270" s="13"/>
      <c r="F270" s="13"/>
    </row>
    <row r="271" spans="2:6" hidden="1" x14ac:dyDescent="0.2">
      <c r="B271" s="13"/>
      <c r="C271" s="13"/>
      <c r="D271" s="13"/>
      <c r="E271" s="13"/>
      <c r="F271" s="13"/>
    </row>
    <row r="272" spans="2:6" hidden="1" x14ac:dyDescent="0.2">
      <c r="B272" s="13"/>
      <c r="C272" s="13"/>
      <c r="D272" s="13"/>
      <c r="E272" s="13"/>
      <c r="F272" s="13"/>
    </row>
  </sheetData>
  <sheetProtection password="D65F" sheet="1" objects="1" scenarios="1"/>
  <customSheetViews>
    <customSheetView guid="{2A376E74-9008-4CC4-AF78-5E9088D4FA1D}" fitToPage="1" hiddenRows="1" hiddenColumns="1" state="hidden">
      <pageMargins left="0.70866141732283472" right="0.70866141732283472" top="0.78740157480314965" bottom="0.78740157480314965" header="0.31496062992125984" footer="0.31496062992125984"/>
      <pageSetup paperSize="9" scale="65" orientation="portrait" horizontalDpi="4294967293" verticalDpi="0" r:id="rId1"/>
    </customSheetView>
  </customSheetViews>
  <mergeCells count="3">
    <mergeCell ref="D2:E2"/>
    <mergeCell ref="B6:F6"/>
    <mergeCell ref="G7:I9"/>
  </mergeCells>
  <dataValidations count="2">
    <dataValidation type="list" allowBlank="1" showErrorMessage="1" errorTitle="Fischart" error="Bitte aus Liste auswählen" sqref="WVL983038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D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D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D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D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D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D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D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D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D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D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D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D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D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D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formula1>Fischart</formula1>
    </dataValidation>
    <dataValidation type="list" allowBlank="1" showErrorMessage="1" errorTitle="Fischart" error="Bitte aus Liste auswählen" sqref="D2:E2">
      <formula1>Fisch</formula1>
    </dataValidation>
  </dataValidations>
  <pageMargins left="0.70866141732283472" right="0.70866141732283472" top="0.78740157480314965" bottom="0.78740157480314965" header="0.31496062992125984" footer="0.31496062992125984"/>
  <pageSetup paperSize="9" scale="65" orientation="portrait" horizontalDpi="4294967293"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Y195"/>
  <sheetViews>
    <sheetView topLeftCell="A25" workbookViewId="0">
      <pane xSplit="2" ySplit="6" topLeftCell="C31" activePane="bottomRight" state="frozen"/>
      <selection activeCell="A25" sqref="A25"/>
      <selection pane="topRight" activeCell="C25" sqref="C25"/>
      <selection pane="bottomLeft" activeCell="A31" sqref="A31"/>
      <selection pane="bottomRight" activeCell="C31" sqref="C31"/>
    </sheetView>
  </sheetViews>
  <sheetFormatPr baseColWidth="10" defaultRowHeight="12.75" x14ac:dyDescent="0.2"/>
  <cols>
    <col min="2" max="2" width="36.140625" customWidth="1"/>
    <col min="3" max="5" width="15.7109375" customWidth="1"/>
    <col min="6" max="6" width="1.28515625" customWidth="1"/>
    <col min="7" max="9" width="15.7109375" style="37" customWidth="1"/>
    <col min="11" max="11" width="1.28515625" customWidth="1"/>
    <col min="16" max="16" width="1.28515625" customWidth="1"/>
    <col min="21" max="21" width="1.28515625" customWidth="1"/>
    <col min="22" max="22" width="11.42578125" customWidth="1"/>
  </cols>
  <sheetData>
    <row r="1" spans="1:9" x14ac:dyDescent="0.2">
      <c r="C1" s="37"/>
      <c r="D1" s="37"/>
      <c r="E1" s="37"/>
    </row>
    <row r="2" spans="1:9" x14ac:dyDescent="0.2">
      <c r="C2" s="37"/>
      <c r="D2" s="37"/>
      <c r="E2" s="37"/>
    </row>
    <row r="3" spans="1:9" x14ac:dyDescent="0.2">
      <c r="C3" s="37"/>
      <c r="D3" s="37"/>
      <c r="E3" s="37"/>
    </row>
    <row r="4" spans="1:9" x14ac:dyDescent="0.2">
      <c r="C4" s="37"/>
      <c r="D4" s="37"/>
      <c r="E4" s="37"/>
    </row>
    <row r="5" spans="1:9" s="24" customFormat="1" x14ac:dyDescent="0.2">
      <c r="G5" s="71"/>
      <c r="H5" s="71"/>
      <c r="I5" s="71"/>
    </row>
    <row r="6" spans="1:9" s="57" customFormat="1" x14ac:dyDescent="0.2">
      <c r="A6" s="57" t="s">
        <v>324</v>
      </c>
      <c r="G6" s="72"/>
      <c r="H6" s="72"/>
      <c r="I6" s="72"/>
    </row>
    <row r="8" spans="1:9" x14ac:dyDescent="0.2">
      <c r="G8" s="75" t="s">
        <v>359</v>
      </c>
      <c r="H8" s="67"/>
    </row>
    <row r="9" spans="1:9" x14ac:dyDescent="0.2">
      <c r="G9" s="75" t="s">
        <v>118</v>
      </c>
    </row>
    <row r="10" spans="1:9" x14ac:dyDescent="0.2">
      <c r="G10" s="76" t="s">
        <v>115</v>
      </c>
      <c r="H10" s="37">
        <v>3</v>
      </c>
      <c r="I10" s="37" t="s">
        <v>116</v>
      </c>
    </row>
    <row r="11" spans="1:9" x14ac:dyDescent="0.2">
      <c r="G11" s="76" t="s">
        <v>111</v>
      </c>
      <c r="H11" s="37">
        <v>100000</v>
      </c>
    </row>
    <row r="12" spans="1:9" x14ac:dyDescent="0.2">
      <c r="G12" s="76" t="s">
        <v>112</v>
      </c>
      <c r="H12" s="66" t="s">
        <v>114</v>
      </c>
      <c r="I12" s="37" t="s">
        <v>113</v>
      </c>
    </row>
    <row r="13" spans="1:9" x14ac:dyDescent="0.2">
      <c r="G13" s="76" t="s">
        <v>117</v>
      </c>
      <c r="H13" s="37">
        <v>30</v>
      </c>
      <c r="I13" s="37" t="s">
        <v>119</v>
      </c>
    </row>
    <row r="14" spans="1:9" x14ac:dyDescent="0.2">
      <c r="G14" s="76" t="s">
        <v>120</v>
      </c>
      <c r="H14" s="37">
        <v>12</v>
      </c>
      <c r="I14" s="37" t="s">
        <v>119</v>
      </c>
    </row>
    <row r="15" spans="1:9" x14ac:dyDescent="0.2">
      <c r="G15" s="76" t="s">
        <v>121</v>
      </c>
      <c r="H15" s="37">
        <v>8</v>
      </c>
      <c r="I15" s="37" t="s">
        <v>122</v>
      </c>
    </row>
    <row r="16" spans="1:9" x14ac:dyDescent="0.2">
      <c r="G16" s="76" t="s">
        <v>123</v>
      </c>
      <c r="H16" s="37">
        <v>420</v>
      </c>
      <c r="I16" s="37" t="s">
        <v>124</v>
      </c>
    </row>
    <row r="17" spans="2:25" x14ac:dyDescent="0.2">
      <c r="G17" s="76" t="s">
        <v>125</v>
      </c>
      <c r="H17" s="37">
        <v>15</v>
      </c>
      <c r="I17" s="37" t="s">
        <v>126</v>
      </c>
    </row>
    <row r="18" spans="2:25" x14ac:dyDescent="0.2">
      <c r="G18" s="76" t="s">
        <v>127</v>
      </c>
      <c r="H18" s="37">
        <v>10</v>
      </c>
      <c r="I18" s="37" t="s">
        <v>360</v>
      </c>
    </row>
    <row r="19" spans="2:25" x14ac:dyDescent="0.2">
      <c r="G19" s="76" t="s">
        <v>128</v>
      </c>
      <c r="H19" s="37">
        <v>0.45</v>
      </c>
      <c r="I19" s="76" t="s">
        <v>129</v>
      </c>
    </row>
    <row r="21" spans="2:25" x14ac:dyDescent="0.2">
      <c r="C21" s="37"/>
    </row>
    <row r="22" spans="2:25" x14ac:dyDescent="0.2">
      <c r="C22" s="37"/>
    </row>
    <row r="24" spans="2:25" s="25" customFormat="1" x14ac:dyDescent="0.2">
      <c r="G24" s="73"/>
      <c r="H24" s="73"/>
      <c r="I24" s="73"/>
    </row>
    <row r="25" spans="2:25" s="31" customFormat="1" x14ac:dyDescent="0.2">
      <c r="B25" s="31" t="s">
        <v>368</v>
      </c>
      <c r="G25" s="19"/>
      <c r="H25" s="19"/>
      <c r="I25" s="19"/>
    </row>
    <row r="26" spans="2:25" s="31" customFormat="1" x14ac:dyDescent="0.2">
      <c r="G26" s="19"/>
      <c r="H26" s="19"/>
      <c r="I26" s="19"/>
    </row>
    <row r="27" spans="2:25" x14ac:dyDescent="0.2">
      <c r="F27" s="82"/>
      <c r="K27" s="82"/>
      <c r="L27" t="s">
        <v>804</v>
      </c>
      <c r="P27" s="82"/>
      <c r="Q27" t="s">
        <v>806</v>
      </c>
      <c r="S27" t="s">
        <v>178</v>
      </c>
      <c r="U27" s="82"/>
      <c r="V27" t="s">
        <v>1044</v>
      </c>
    </row>
    <row r="28" spans="2:25" x14ac:dyDescent="0.2">
      <c r="B28" s="11" t="s">
        <v>152</v>
      </c>
      <c r="F28" s="82"/>
      <c r="G28" s="75" t="s">
        <v>359</v>
      </c>
      <c r="H28" s="67"/>
      <c r="I28" s="67"/>
      <c r="K28" s="82"/>
      <c r="L28" s="11" t="s">
        <v>370</v>
      </c>
      <c r="P28" s="82"/>
      <c r="Q28" s="11" t="s">
        <v>807</v>
      </c>
      <c r="U28" s="82"/>
      <c r="V28" t="s">
        <v>1045</v>
      </c>
    </row>
    <row r="29" spans="2:25" x14ac:dyDescent="0.2">
      <c r="D29" s="32" t="s">
        <v>159</v>
      </c>
      <c r="E29" s="68">
        <v>15.46</v>
      </c>
      <c r="F29" s="82"/>
      <c r="H29" s="37" t="s">
        <v>159</v>
      </c>
      <c r="I29" s="77">
        <v>15</v>
      </c>
      <c r="K29" s="82"/>
      <c r="M29" s="290" t="s">
        <v>159</v>
      </c>
      <c r="N29" s="77">
        <v>15</v>
      </c>
      <c r="P29" s="82"/>
      <c r="R29" s="290" t="s">
        <v>159</v>
      </c>
      <c r="S29" s="77">
        <v>15</v>
      </c>
      <c r="U29" s="82"/>
      <c r="X29" s="77">
        <v>15</v>
      </c>
    </row>
    <row r="30" spans="2:25" s="17" customFormat="1" ht="38.25" x14ac:dyDescent="0.2">
      <c r="B30" s="69" t="s">
        <v>130</v>
      </c>
      <c r="C30" s="69" t="s">
        <v>157</v>
      </c>
      <c r="D30" s="69" t="s">
        <v>139</v>
      </c>
      <c r="E30" s="70" t="s">
        <v>357</v>
      </c>
      <c r="F30" s="83"/>
      <c r="G30" s="70" t="s">
        <v>157</v>
      </c>
      <c r="H30" s="70" t="s">
        <v>139</v>
      </c>
      <c r="I30" s="70" t="s">
        <v>357</v>
      </c>
      <c r="K30" s="83"/>
      <c r="L30" s="70" t="s">
        <v>157</v>
      </c>
      <c r="M30" s="70" t="s">
        <v>139</v>
      </c>
      <c r="N30" s="70" t="s">
        <v>357</v>
      </c>
      <c r="O30" s="17" t="s">
        <v>373</v>
      </c>
      <c r="P30" s="83"/>
      <c r="Q30" s="70" t="s">
        <v>157</v>
      </c>
      <c r="R30" s="70" t="s">
        <v>139</v>
      </c>
      <c r="S30" s="70" t="s">
        <v>357</v>
      </c>
      <c r="T30" s="17" t="s">
        <v>373</v>
      </c>
      <c r="U30" s="83"/>
      <c r="V30" s="70" t="s">
        <v>157</v>
      </c>
      <c r="W30" s="70" t="s">
        <v>139</v>
      </c>
      <c r="X30" s="70" t="s">
        <v>357</v>
      </c>
      <c r="Y30" s="17" t="s">
        <v>373</v>
      </c>
    </row>
    <row r="31" spans="2:25" x14ac:dyDescent="0.2">
      <c r="B31" s="26" t="s">
        <v>131</v>
      </c>
      <c r="C31" s="27">
        <v>52</v>
      </c>
      <c r="D31" s="27">
        <v>7</v>
      </c>
      <c r="E31" s="86">
        <f>C31*D31*E$29</f>
        <v>5627.4400000000005</v>
      </c>
      <c r="F31" s="82"/>
      <c r="G31" s="37">
        <v>52</v>
      </c>
      <c r="H31" s="37">
        <v>7</v>
      </c>
      <c r="I31" s="37">
        <f>G31*H31*I$29</f>
        <v>5460</v>
      </c>
      <c r="K31" s="82"/>
      <c r="L31">
        <v>52</v>
      </c>
      <c r="M31">
        <v>7</v>
      </c>
      <c r="N31" s="290">
        <f>L31*M31*N$29</f>
        <v>5460</v>
      </c>
      <c r="P31" s="82"/>
      <c r="Q31">
        <v>52</v>
      </c>
      <c r="R31">
        <v>7</v>
      </c>
      <c r="S31" s="290">
        <f>Q31*R31*S$29</f>
        <v>5460</v>
      </c>
      <c r="U31" s="82"/>
      <c r="V31">
        <v>385</v>
      </c>
      <c r="W31">
        <v>1.5</v>
      </c>
      <c r="X31" s="835">
        <f>V31*W31*X$29</f>
        <v>8662.5</v>
      </c>
    </row>
    <row r="32" spans="2:25" x14ac:dyDescent="0.2">
      <c r="B32" s="26" t="s">
        <v>132</v>
      </c>
      <c r="C32" s="27">
        <v>26</v>
      </c>
      <c r="D32" s="27">
        <v>12</v>
      </c>
      <c r="E32" s="86">
        <f t="shared" ref="E32:E35" si="0">C32*D32*E$29</f>
        <v>4823.5200000000004</v>
      </c>
      <c r="F32" s="82"/>
      <c r="G32" s="37">
        <v>8</v>
      </c>
      <c r="H32" s="37">
        <v>12</v>
      </c>
      <c r="I32" s="37">
        <f t="shared" ref="I32:I34" si="1">G32*H32*I$29</f>
        <v>1440</v>
      </c>
      <c r="K32" s="82"/>
      <c r="L32">
        <v>25</v>
      </c>
      <c r="M32">
        <v>12</v>
      </c>
      <c r="N32" s="290">
        <f t="shared" ref="N32:N34" si="2">L32*M32*N$29</f>
        <v>4500</v>
      </c>
      <c r="P32" s="82"/>
      <c r="Q32">
        <v>75</v>
      </c>
      <c r="R32">
        <v>12</v>
      </c>
      <c r="S32" s="290">
        <f t="shared" ref="S32:S34" si="3">Q32*R32*S$29</f>
        <v>13500</v>
      </c>
      <c r="U32" s="82"/>
      <c r="V32">
        <v>52</v>
      </c>
      <c r="W32">
        <v>5</v>
      </c>
      <c r="X32" s="835">
        <f t="shared" ref="X32:X34" si="4">V32*W32*X$29</f>
        <v>3900</v>
      </c>
    </row>
    <row r="33" spans="2:24" x14ac:dyDescent="0.2">
      <c r="B33" s="26" t="s">
        <v>133</v>
      </c>
      <c r="C33" s="27">
        <v>52</v>
      </c>
      <c r="D33" s="27">
        <v>2</v>
      </c>
      <c r="E33" s="86">
        <f t="shared" si="0"/>
        <v>1607.8400000000001</v>
      </c>
      <c r="F33" s="82"/>
      <c r="G33" s="37">
        <v>52</v>
      </c>
      <c r="H33" s="37">
        <v>2</v>
      </c>
      <c r="I33" s="37">
        <f t="shared" si="1"/>
        <v>1560</v>
      </c>
      <c r="K33" s="82"/>
      <c r="L33">
        <v>52</v>
      </c>
      <c r="M33">
        <v>2</v>
      </c>
      <c r="N33" s="290">
        <f t="shared" si="2"/>
        <v>1560</v>
      </c>
      <c r="P33" s="82"/>
      <c r="Q33">
        <v>52</v>
      </c>
      <c r="R33">
        <v>2</v>
      </c>
      <c r="S33" s="290">
        <f t="shared" si="3"/>
        <v>1560</v>
      </c>
      <c r="U33" s="82"/>
      <c r="V33">
        <v>52</v>
      </c>
      <c r="W33">
        <v>1</v>
      </c>
      <c r="X33" s="835">
        <f t="shared" si="4"/>
        <v>780</v>
      </c>
    </row>
    <row r="34" spans="2:24" x14ac:dyDescent="0.2">
      <c r="B34" s="26" t="s">
        <v>134</v>
      </c>
      <c r="C34" s="27">
        <v>26</v>
      </c>
      <c r="D34" s="27">
        <v>3</v>
      </c>
      <c r="E34" s="86">
        <f t="shared" si="0"/>
        <v>1205.8800000000001</v>
      </c>
      <c r="F34" s="82"/>
      <c r="G34" s="37">
        <v>12</v>
      </c>
      <c r="H34" s="37">
        <v>3</v>
      </c>
      <c r="I34" s="37">
        <f t="shared" si="1"/>
        <v>540</v>
      </c>
      <c r="K34" s="82"/>
      <c r="L34">
        <v>26</v>
      </c>
      <c r="M34">
        <v>3</v>
      </c>
      <c r="N34" s="290">
        <f t="shared" si="2"/>
        <v>1170</v>
      </c>
      <c r="P34" s="82"/>
      <c r="Q34">
        <v>50</v>
      </c>
      <c r="R34">
        <v>3</v>
      </c>
      <c r="S34" s="290">
        <f t="shared" si="3"/>
        <v>2250</v>
      </c>
      <c r="U34" s="82"/>
      <c r="V34">
        <v>52</v>
      </c>
      <c r="W34">
        <v>1</v>
      </c>
      <c r="X34" s="835">
        <f t="shared" si="4"/>
        <v>780</v>
      </c>
    </row>
    <row r="35" spans="2:24" x14ac:dyDescent="0.2">
      <c r="B35" s="26" t="s">
        <v>135</v>
      </c>
      <c r="C35" s="27">
        <v>52</v>
      </c>
      <c r="D35" s="27">
        <v>10</v>
      </c>
      <c r="E35" s="86">
        <f t="shared" si="0"/>
        <v>8039.2000000000007</v>
      </c>
      <c r="F35" s="82"/>
      <c r="H35" s="27"/>
      <c r="I35" s="86"/>
      <c r="K35" s="82"/>
      <c r="P35" s="82"/>
      <c r="U35" s="82"/>
    </row>
    <row r="36" spans="2:24" x14ac:dyDescent="0.2">
      <c r="B36" s="26"/>
      <c r="C36" s="27"/>
      <c r="D36" s="27"/>
      <c r="E36" s="19"/>
      <c r="F36" s="82"/>
      <c r="K36" s="82"/>
      <c r="P36" s="82"/>
      <c r="U36" s="82"/>
    </row>
    <row r="37" spans="2:24" x14ac:dyDescent="0.2">
      <c r="B37" s="11" t="s">
        <v>136</v>
      </c>
      <c r="C37" s="27"/>
      <c r="D37" s="27"/>
      <c r="E37" s="31"/>
      <c r="F37" s="82"/>
      <c r="K37" s="82"/>
      <c r="P37" s="82"/>
      <c r="U37" s="82"/>
    </row>
    <row r="38" spans="2:24" x14ac:dyDescent="0.2">
      <c r="B38" s="26" t="s">
        <v>137</v>
      </c>
      <c r="C38" s="27">
        <v>52</v>
      </c>
      <c r="D38" s="27">
        <v>0.5</v>
      </c>
      <c r="E38" s="86">
        <f t="shared" ref="E38:E39" si="5">C38*D38*E$29</f>
        <v>401.96000000000004</v>
      </c>
      <c r="F38" s="82"/>
      <c r="G38" s="37">
        <v>52</v>
      </c>
      <c r="H38" s="37">
        <v>0.5</v>
      </c>
      <c r="I38" s="37">
        <f t="shared" ref="I38:I39" si="6">G38*H38*I$29</f>
        <v>390</v>
      </c>
      <c r="K38" s="82"/>
      <c r="L38">
        <v>52</v>
      </c>
      <c r="M38">
        <v>0.5</v>
      </c>
      <c r="N38" s="290">
        <f t="shared" ref="N38:N39" si="7">L38*M38*N$29</f>
        <v>390</v>
      </c>
      <c r="P38" s="82"/>
      <c r="Q38">
        <v>52</v>
      </c>
      <c r="R38">
        <v>0.5</v>
      </c>
      <c r="S38" s="290">
        <f t="shared" ref="S38:S39" si="8">Q38*R38*S$29</f>
        <v>390</v>
      </c>
      <c r="U38" s="82"/>
      <c r="V38">
        <v>52</v>
      </c>
      <c r="W38">
        <v>2.5</v>
      </c>
      <c r="X38" s="835">
        <f t="shared" ref="X38:X39" si="9">V38*W38*X$29</f>
        <v>1950</v>
      </c>
    </row>
    <row r="39" spans="2:24" x14ac:dyDescent="0.2">
      <c r="B39" s="26" t="s">
        <v>138</v>
      </c>
      <c r="C39" s="27">
        <v>52</v>
      </c>
      <c r="D39" s="27">
        <v>1</v>
      </c>
      <c r="E39" s="86">
        <f t="shared" si="5"/>
        <v>803.92000000000007</v>
      </c>
      <c r="F39" s="84"/>
      <c r="G39" s="37">
        <v>52</v>
      </c>
      <c r="H39" s="37">
        <v>1</v>
      </c>
      <c r="I39" s="37">
        <f t="shared" si="6"/>
        <v>780</v>
      </c>
      <c r="K39" s="82"/>
      <c r="L39">
        <v>52</v>
      </c>
      <c r="M39">
        <v>1</v>
      </c>
      <c r="N39" s="290">
        <f t="shared" si="7"/>
        <v>780</v>
      </c>
      <c r="O39" t="s">
        <v>803</v>
      </c>
      <c r="P39" s="82"/>
      <c r="Q39">
        <v>52</v>
      </c>
      <c r="R39">
        <v>1</v>
      </c>
      <c r="S39" s="290">
        <f t="shared" si="8"/>
        <v>780</v>
      </c>
      <c r="T39" t="s">
        <v>803</v>
      </c>
      <c r="U39" s="82"/>
      <c r="V39">
        <v>52</v>
      </c>
      <c r="W39">
        <v>1</v>
      </c>
      <c r="X39" s="835">
        <f t="shared" si="9"/>
        <v>780</v>
      </c>
    </row>
    <row r="40" spans="2:24" x14ac:dyDescent="0.2">
      <c r="B40" s="90" t="s">
        <v>369</v>
      </c>
      <c r="C40" s="27"/>
      <c r="D40" s="91">
        <f>SUM(E31:E39)/E29</f>
        <v>1456</v>
      </c>
      <c r="F40" s="84"/>
      <c r="H40" s="91">
        <f>SUM(I31:I39)/I29</f>
        <v>678</v>
      </c>
      <c r="K40" s="82"/>
      <c r="M40" s="91">
        <f>SUM(N31:N39)/N29</f>
        <v>924</v>
      </c>
      <c r="P40" s="82"/>
      <c r="R40" s="91">
        <f>SUM(S31:S39)/S29</f>
        <v>1596</v>
      </c>
      <c r="U40" s="82"/>
      <c r="W40" s="91">
        <f>SUM(X31:X39)/X29</f>
        <v>1123.5</v>
      </c>
    </row>
    <row r="41" spans="2:24" x14ac:dyDescent="0.2">
      <c r="B41" s="26"/>
      <c r="C41" s="27"/>
      <c r="D41" s="27"/>
      <c r="E41" s="86"/>
      <c r="F41" s="84"/>
      <c r="K41" s="82"/>
      <c r="P41" s="82"/>
      <c r="S41" s="11">
        <f>SUM(S31:S39)</f>
        <v>23940</v>
      </c>
      <c r="U41" s="82"/>
      <c r="X41" s="11">
        <f>SUM(X31:X39)</f>
        <v>16852.5</v>
      </c>
    </row>
    <row r="42" spans="2:24" x14ac:dyDescent="0.2">
      <c r="E42" s="31"/>
      <c r="F42" s="82"/>
      <c r="K42" s="82"/>
      <c r="P42" s="82"/>
      <c r="U42" s="82"/>
    </row>
    <row r="43" spans="2:24" s="17" customFormat="1" ht="38.25" x14ac:dyDescent="0.2">
      <c r="B43" s="69" t="s">
        <v>153</v>
      </c>
      <c r="D43" s="17" t="s">
        <v>361</v>
      </c>
      <c r="E43" s="87" t="s">
        <v>151</v>
      </c>
      <c r="F43" s="83"/>
      <c r="G43" s="74"/>
      <c r="H43" s="74" t="s">
        <v>361</v>
      </c>
      <c r="I43" s="74" t="s">
        <v>151</v>
      </c>
      <c r="K43" s="83"/>
      <c r="M43" s="74" t="s">
        <v>361</v>
      </c>
      <c r="N43" s="74" t="s">
        <v>151</v>
      </c>
      <c r="P43" s="83"/>
      <c r="R43" s="74" t="s">
        <v>361</v>
      </c>
      <c r="S43" s="74" t="s">
        <v>151</v>
      </c>
      <c r="U43" s="83"/>
      <c r="W43" s="74" t="s">
        <v>361</v>
      </c>
      <c r="X43" s="74" t="s">
        <v>151</v>
      </c>
    </row>
    <row r="44" spans="2:24" x14ac:dyDescent="0.2">
      <c r="B44" t="s">
        <v>145</v>
      </c>
      <c r="C44" s="37">
        <v>131328</v>
      </c>
      <c r="D44" s="37">
        <v>10.4</v>
      </c>
      <c r="E44" s="86">
        <f>C44*D44/100</f>
        <v>13658.111999999999</v>
      </c>
      <c r="F44" s="82"/>
      <c r="G44" s="37">
        <v>88800</v>
      </c>
      <c r="H44" s="37">
        <v>12.8</v>
      </c>
      <c r="I44" s="28">
        <f>G44*H44/100</f>
        <v>11366.4</v>
      </c>
      <c r="K44" s="82"/>
      <c r="L44">
        <v>215000</v>
      </c>
      <c r="M44">
        <v>12.8</v>
      </c>
      <c r="N44" s="28">
        <f>L44*M44/100</f>
        <v>27520</v>
      </c>
      <c r="P44" s="82"/>
      <c r="Q44">
        <v>270000</v>
      </c>
      <c r="R44">
        <v>12.8</v>
      </c>
      <c r="S44" s="28">
        <f>Q44*R44/100</f>
        <v>34560</v>
      </c>
      <c r="U44" s="82"/>
      <c r="V44">
        <v>200000</v>
      </c>
      <c r="W44">
        <v>12.8</v>
      </c>
      <c r="X44" s="28">
        <f>V44*W44/100</f>
        <v>25600</v>
      </c>
    </row>
    <row r="45" spans="2:24" x14ac:dyDescent="0.2">
      <c r="B45" t="s">
        <v>146</v>
      </c>
      <c r="C45" s="37">
        <v>12750</v>
      </c>
      <c r="D45" s="37">
        <v>10</v>
      </c>
      <c r="E45" s="86">
        <f t="shared" ref="E45:E46" si="10">C45*D45/100</f>
        <v>1275</v>
      </c>
      <c r="F45" s="82"/>
      <c r="G45" s="37">
        <v>12750</v>
      </c>
      <c r="H45" s="290">
        <v>12.8</v>
      </c>
      <c r="I45" s="28">
        <f t="shared" ref="I45:I47" si="11">G45*H45/100</f>
        <v>1632</v>
      </c>
      <c r="K45" s="82"/>
      <c r="L45">
        <v>90000</v>
      </c>
      <c r="M45">
        <v>12.8</v>
      </c>
      <c r="N45" s="28">
        <f t="shared" ref="N45:N47" si="12">L45*M45/100</f>
        <v>11520</v>
      </c>
      <c r="P45" s="82"/>
      <c r="Q45">
        <v>27000</v>
      </c>
      <c r="R45">
        <v>12.8</v>
      </c>
      <c r="S45" s="28">
        <f t="shared" ref="S45:S47" si="13">Q45*R45/100</f>
        <v>3456</v>
      </c>
      <c r="U45" s="82"/>
      <c r="V45">
        <v>100000</v>
      </c>
      <c r="W45">
        <v>12.8</v>
      </c>
      <c r="X45" s="28">
        <f t="shared" ref="X45:X48" si="14">V45*W45/100</f>
        <v>12800</v>
      </c>
    </row>
    <row r="46" spans="2:24" x14ac:dyDescent="0.2">
      <c r="B46" t="s">
        <v>147</v>
      </c>
      <c r="C46" s="37">
        <v>9500</v>
      </c>
      <c r="D46" s="37">
        <v>10</v>
      </c>
      <c r="E46" s="86">
        <f t="shared" si="10"/>
        <v>950</v>
      </c>
      <c r="F46" s="82"/>
      <c r="G46" s="37">
        <v>9500</v>
      </c>
      <c r="H46" s="290">
        <v>12.8</v>
      </c>
      <c r="I46" s="28">
        <f t="shared" si="11"/>
        <v>1216</v>
      </c>
      <c r="K46" s="82"/>
      <c r="L46">
        <v>10000</v>
      </c>
      <c r="M46">
        <v>12.8</v>
      </c>
      <c r="N46" s="28">
        <f t="shared" si="12"/>
        <v>1280</v>
      </c>
      <c r="P46" s="82"/>
      <c r="Q46">
        <v>21600</v>
      </c>
      <c r="R46">
        <v>12.8</v>
      </c>
      <c r="S46" s="28">
        <f t="shared" si="13"/>
        <v>2764.8</v>
      </c>
      <c r="U46" s="82"/>
      <c r="V46">
        <v>5000</v>
      </c>
      <c r="W46">
        <v>12.8</v>
      </c>
      <c r="X46" s="28">
        <f t="shared" si="14"/>
        <v>640</v>
      </c>
    </row>
    <row r="47" spans="2:24" x14ac:dyDescent="0.2">
      <c r="B47" t="s">
        <v>158</v>
      </c>
      <c r="C47" s="37">
        <v>6000</v>
      </c>
      <c r="D47" s="37">
        <v>10</v>
      </c>
      <c r="E47" s="86">
        <f>C47*D47/100</f>
        <v>600</v>
      </c>
      <c r="F47" s="82"/>
      <c r="G47" s="37">
        <v>6000</v>
      </c>
      <c r="H47" s="290">
        <v>12.8</v>
      </c>
      <c r="I47" s="28">
        <f t="shared" si="11"/>
        <v>768</v>
      </c>
      <c r="K47" s="82"/>
      <c r="L47">
        <v>15000</v>
      </c>
      <c r="M47">
        <v>12.8</v>
      </c>
      <c r="N47" s="28">
        <f t="shared" si="12"/>
        <v>1920</v>
      </c>
      <c r="P47" s="82"/>
      <c r="Q47">
        <v>15000</v>
      </c>
      <c r="R47">
        <v>12.8</v>
      </c>
      <c r="S47" s="28">
        <f t="shared" si="13"/>
        <v>1920</v>
      </c>
      <c r="U47" s="82"/>
      <c r="V47">
        <v>15000</v>
      </c>
      <c r="W47">
        <v>12.8</v>
      </c>
      <c r="X47" s="28">
        <f t="shared" si="14"/>
        <v>1920</v>
      </c>
    </row>
    <row r="48" spans="2:24" x14ac:dyDescent="0.2">
      <c r="B48" t="s">
        <v>374</v>
      </c>
      <c r="C48" s="37"/>
      <c r="D48" s="37"/>
      <c r="E48" s="86"/>
      <c r="F48" s="82"/>
      <c r="I48" s="28"/>
      <c r="K48" s="82"/>
      <c r="P48" s="82"/>
      <c r="U48" s="82"/>
      <c r="V48">
        <v>3000</v>
      </c>
      <c r="W48">
        <v>100</v>
      </c>
      <c r="X48" s="28">
        <f t="shared" si="14"/>
        <v>3000</v>
      </c>
    </row>
    <row r="49" spans="2:24" x14ac:dyDescent="0.2">
      <c r="E49" s="31"/>
      <c r="F49" s="82"/>
      <c r="K49" s="82"/>
      <c r="P49" s="82"/>
      <c r="S49" s="291">
        <f>SUM(S44:S47)</f>
        <v>42700.800000000003</v>
      </c>
      <c r="U49" s="82"/>
      <c r="X49" s="291">
        <f>SUM(X44:X48)</f>
        <v>43960</v>
      </c>
    </row>
    <row r="50" spans="2:24" s="17" customFormat="1" ht="25.5" x14ac:dyDescent="0.2">
      <c r="B50" s="69" t="s">
        <v>366</v>
      </c>
      <c r="C50" s="74" t="s">
        <v>143</v>
      </c>
      <c r="D50" s="74" t="s">
        <v>144</v>
      </c>
      <c r="E50" s="87" t="s">
        <v>151</v>
      </c>
      <c r="F50" s="83"/>
      <c r="G50" s="74" t="s">
        <v>143</v>
      </c>
      <c r="H50" s="74" t="s">
        <v>144</v>
      </c>
      <c r="I50" s="17" t="s">
        <v>151</v>
      </c>
      <c r="K50" s="83"/>
      <c r="P50" s="83"/>
      <c r="U50" s="83"/>
    </row>
    <row r="51" spans="2:24" x14ac:dyDescent="0.2">
      <c r="B51" t="s">
        <v>367</v>
      </c>
      <c r="C51" s="37">
        <v>1</v>
      </c>
      <c r="D51" s="37">
        <v>500</v>
      </c>
      <c r="E51" s="88">
        <f>C51*D51</f>
        <v>500</v>
      </c>
      <c r="F51" s="82"/>
      <c r="G51" s="37">
        <v>3600</v>
      </c>
      <c r="H51" s="37">
        <v>0.5</v>
      </c>
      <c r="I51" s="37">
        <f t="shared" ref="I51:I56" si="15">G51*H51</f>
        <v>1800</v>
      </c>
      <c r="K51" s="82"/>
      <c r="L51">
        <v>8578</v>
      </c>
      <c r="M51">
        <v>0.3</v>
      </c>
      <c r="N51">
        <f>L51*M51</f>
        <v>2573.4</v>
      </c>
      <c r="P51" s="82"/>
      <c r="Q51">
        <v>8578</v>
      </c>
      <c r="R51">
        <v>0.5</v>
      </c>
      <c r="S51">
        <f>Q51*R51</f>
        <v>4289</v>
      </c>
      <c r="U51" s="82"/>
      <c r="V51">
        <f>6*365</f>
        <v>2190</v>
      </c>
      <c r="W51">
        <v>0.1</v>
      </c>
      <c r="X51">
        <f>V51*W51</f>
        <v>219</v>
      </c>
    </row>
    <row r="52" spans="2:24" x14ac:dyDescent="0.2">
      <c r="B52" t="s">
        <v>141</v>
      </c>
      <c r="C52" s="23">
        <v>43274</v>
      </c>
      <c r="D52" s="37">
        <v>0.2</v>
      </c>
      <c r="E52" s="89">
        <f t="shared" ref="E52:E56" si="16">C52*D52</f>
        <v>8654.8000000000011</v>
      </c>
      <c r="F52" s="82"/>
      <c r="G52" s="37">
        <v>36582</v>
      </c>
      <c r="H52" s="37">
        <v>0.18</v>
      </c>
      <c r="I52" s="28">
        <f t="shared" si="15"/>
        <v>6584.7599999999993</v>
      </c>
      <c r="K52" s="82"/>
      <c r="L52">
        <v>39420</v>
      </c>
      <c r="M52">
        <v>0.18</v>
      </c>
      <c r="N52">
        <f t="shared" ref="N52:N59" si="17">L52*M52</f>
        <v>7095.5999999999995</v>
      </c>
      <c r="P52" s="82"/>
      <c r="Q52">
        <v>65700</v>
      </c>
      <c r="R52">
        <v>0.18</v>
      </c>
      <c r="S52">
        <f t="shared" ref="S52:S59" si="18">Q52*R52</f>
        <v>11826</v>
      </c>
      <c r="U52" s="82"/>
      <c r="V52">
        <v>80000</v>
      </c>
      <c r="W52">
        <v>0.21</v>
      </c>
      <c r="X52">
        <f t="shared" ref="X52:X59" si="19">V52*W52</f>
        <v>16800</v>
      </c>
    </row>
    <row r="53" spans="2:24" x14ac:dyDescent="0.2">
      <c r="B53" t="s">
        <v>142</v>
      </c>
      <c r="C53" s="23">
        <v>52</v>
      </c>
      <c r="D53" s="37">
        <v>4</v>
      </c>
      <c r="E53" s="88">
        <f t="shared" si="16"/>
        <v>208</v>
      </c>
      <c r="F53" s="82"/>
      <c r="G53" s="37">
        <v>52</v>
      </c>
      <c r="H53" s="37">
        <v>15</v>
      </c>
      <c r="I53" s="37">
        <f t="shared" si="15"/>
        <v>780</v>
      </c>
      <c r="K53" s="82"/>
      <c r="L53">
        <v>52</v>
      </c>
      <c r="M53">
        <v>15</v>
      </c>
      <c r="N53">
        <f t="shared" si="17"/>
        <v>780</v>
      </c>
      <c r="P53" s="82"/>
      <c r="Q53">
        <v>52</v>
      </c>
      <c r="R53">
        <v>15</v>
      </c>
      <c r="S53">
        <f t="shared" si="18"/>
        <v>780</v>
      </c>
      <c r="U53" s="82"/>
      <c r="V53">
        <v>52</v>
      </c>
      <c r="W53">
        <v>15</v>
      </c>
      <c r="X53">
        <f t="shared" si="19"/>
        <v>780</v>
      </c>
    </row>
    <row r="54" spans="2:24" x14ac:dyDescent="0.2">
      <c r="B54" t="s">
        <v>148</v>
      </c>
      <c r="C54" s="23">
        <v>12</v>
      </c>
      <c r="D54" s="37">
        <v>100</v>
      </c>
      <c r="E54" s="88">
        <f t="shared" si="16"/>
        <v>1200</v>
      </c>
      <c r="F54" s="82"/>
      <c r="G54" s="37">
        <v>6</v>
      </c>
      <c r="H54" s="37">
        <v>100</v>
      </c>
      <c r="I54" s="37">
        <f t="shared" si="15"/>
        <v>600</v>
      </c>
      <c r="K54" s="82"/>
      <c r="L54">
        <v>6</v>
      </c>
      <c r="M54">
        <v>100</v>
      </c>
      <c r="N54">
        <f t="shared" si="17"/>
        <v>600</v>
      </c>
      <c r="P54" s="82"/>
      <c r="Q54">
        <v>12</v>
      </c>
      <c r="R54">
        <v>100</v>
      </c>
      <c r="S54">
        <f t="shared" si="18"/>
        <v>1200</v>
      </c>
      <c r="U54" s="82"/>
      <c r="V54">
        <v>3</v>
      </c>
      <c r="W54">
        <v>100</v>
      </c>
      <c r="X54">
        <f t="shared" si="19"/>
        <v>300</v>
      </c>
    </row>
    <row r="55" spans="2:24" x14ac:dyDescent="0.2">
      <c r="B55" t="s">
        <v>149</v>
      </c>
      <c r="C55" s="23">
        <v>40000</v>
      </c>
      <c r="D55" s="37">
        <v>0.01</v>
      </c>
      <c r="E55" s="88">
        <f t="shared" si="16"/>
        <v>400</v>
      </c>
      <c r="F55" s="82"/>
      <c r="G55" s="37">
        <v>30000</v>
      </c>
      <c r="H55" s="37">
        <v>0.06</v>
      </c>
      <c r="I55" s="37">
        <f t="shared" si="15"/>
        <v>1800</v>
      </c>
      <c r="K55" s="82"/>
      <c r="L55">
        <v>80000</v>
      </c>
      <c r="M55">
        <v>0.05</v>
      </c>
      <c r="N55">
        <f t="shared" si="17"/>
        <v>4000</v>
      </c>
      <c r="P55" s="82"/>
      <c r="Q55">
        <v>80000</v>
      </c>
      <c r="R55">
        <v>0.06</v>
      </c>
      <c r="S55">
        <f t="shared" si="18"/>
        <v>4800</v>
      </c>
      <c r="U55" s="82"/>
      <c r="V55">
        <v>40000</v>
      </c>
      <c r="W55">
        <v>0.1</v>
      </c>
      <c r="X55">
        <f t="shared" si="19"/>
        <v>4000</v>
      </c>
    </row>
    <row r="56" spans="2:24" x14ac:dyDescent="0.2">
      <c r="B56" t="s">
        <v>150</v>
      </c>
      <c r="C56" s="23">
        <v>1</v>
      </c>
      <c r="D56" s="37">
        <v>500</v>
      </c>
      <c r="E56" s="88">
        <f t="shared" si="16"/>
        <v>500</v>
      </c>
      <c r="F56" s="82"/>
      <c r="G56" s="37">
        <v>1</v>
      </c>
      <c r="H56" s="37">
        <v>500</v>
      </c>
      <c r="I56" s="37">
        <f t="shared" si="15"/>
        <v>500</v>
      </c>
      <c r="K56" s="82"/>
      <c r="L56">
        <v>1</v>
      </c>
      <c r="M56">
        <v>500</v>
      </c>
      <c r="N56">
        <f t="shared" si="17"/>
        <v>500</v>
      </c>
      <c r="P56" s="82"/>
      <c r="Q56">
        <v>1</v>
      </c>
      <c r="R56">
        <v>500</v>
      </c>
      <c r="S56">
        <f t="shared" si="18"/>
        <v>500</v>
      </c>
      <c r="U56" s="82"/>
      <c r="V56">
        <v>1</v>
      </c>
      <c r="W56">
        <v>500</v>
      </c>
      <c r="X56">
        <f t="shared" si="19"/>
        <v>500</v>
      </c>
    </row>
    <row r="57" spans="2:24" x14ac:dyDescent="0.2">
      <c r="B57" s="2" t="s">
        <v>372</v>
      </c>
      <c r="C57" s="23"/>
      <c r="D57" s="37"/>
      <c r="E57" s="88"/>
      <c r="F57" s="82"/>
      <c r="I57" s="37">
        <v>350</v>
      </c>
      <c r="K57" s="82"/>
      <c r="L57">
        <v>1</v>
      </c>
      <c r="M57">
        <v>3450</v>
      </c>
      <c r="N57">
        <f t="shared" si="17"/>
        <v>3450</v>
      </c>
      <c r="P57" s="82"/>
      <c r="Q57">
        <v>1</v>
      </c>
      <c r="R57">
        <v>3450</v>
      </c>
      <c r="S57">
        <f t="shared" si="18"/>
        <v>3450</v>
      </c>
      <c r="U57" s="82"/>
      <c r="V57">
        <v>1000</v>
      </c>
      <c r="W57">
        <v>1</v>
      </c>
      <c r="X57">
        <f t="shared" si="19"/>
        <v>1000</v>
      </c>
    </row>
    <row r="58" spans="2:24" x14ac:dyDescent="0.2">
      <c r="B58" s="2" t="s">
        <v>371</v>
      </c>
      <c r="C58" s="23"/>
      <c r="D58" s="37"/>
      <c r="E58" s="88"/>
      <c r="F58" s="82"/>
      <c r="K58" s="82"/>
      <c r="L58">
        <v>8760</v>
      </c>
      <c r="M58">
        <v>1</v>
      </c>
      <c r="N58">
        <f t="shared" si="17"/>
        <v>8760</v>
      </c>
      <c r="P58" s="82"/>
      <c r="Q58">
        <f>3*L58</f>
        <v>26280</v>
      </c>
      <c r="R58">
        <v>1</v>
      </c>
      <c r="S58">
        <f t="shared" si="18"/>
        <v>26280</v>
      </c>
      <c r="U58" s="82"/>
      <c r="V58">
        <v>12000</v>
      </c>
      <c r="W58">
        <v>0.3</v>
      </c>
      <c r="X58">
        <f t="shared" si="19"/>
        <v>3600</v>
      </c>
    </row>
    <row r="59" spans="2:24" x14ac:dyDescent="0.2">
      <c r="B59" s="2" t="s">
        <v>376</v>
      </c>
      <c r="C59" s="23"/>
      <c r="D59" s="37"/>
      <c r="E59" s="88"/>
      <c r="F59" s="82"/>
      <c r="G59" s="37">
        <v>11</v>
      </c>
      <c r="H59" s="37">
        <v>200</v>
      </c>
      <c r="K59" s="82"/>
      <c r="L59">
        <v>11</v>
      </c>
      <c r="M59">
        <v>300</v>
      </c>
      <c r="N59">
        <f t="shared" si="17"/>
        <v>3300</v>
      </c>
      <c r="P59" s="82"/>
      <c r="Q59">
        <v>11</v>
      </c>
      <c r="R59">
        <v>300</v>
      </c>
      <c r="S59">
        <f t="shared" si="18"/>
        <v>3300</v>
      </c>
      <c r="U59" s="82"/>
      <c r="V59">
        <v>1000</v>
      </c>
      <c r="W59">
        <v>1</v>
      </c>
      <c r="X59">
        <f t="shared" si="19"/>
        <v>1000</v>
      </c>
    </row>
    <row r="60" spans="2:24" x14ac:dyDescent="0.2">
      <c r="E60" s="31"/>
      <c r="F60" s="82"/>
      <c r="G60"/>
      <c r="H60"/>
      <c r="K60" s="82"/>
      <c r="P60" s="82"/>
      <c r="S60" s="11">
        <f>SUM(S51:S59)</f>
        <v>56425</v>
      </c>
      <c r="U60" s="82"/>
      <c r="X60" s="11">
        <f>SUM(X51:X59)</f>
        <v>28199</v>
      </c>
    </row>
    <row r="61" spans="2:24" x14ac:dyDescent="0.2">
      <c r="B61" s="11" t="s">
        <v>154</v>
      </c>
      <c r="E61" s="31"/>
      <c r="F61" s="82"/>
      <c r="K61" s="82"/>
      <c r="P61" s="82"/>
      <c r="U61" s="82"/>
    </row>
    <row r="62" spans="2:24" x14ac:dyDescent="0.2">
      <c r="B62" t="s">
        <v>155</v>
      </c>
      <c r="C62" s="23">
        <v>13700</v>
      </c>
      <c r="D62" s="37">
        <v>0.5</v>
      </c>
      <c r="E62" s="88">
        <f t="shared" ref="E62:E68" si="20">C62*D62</f>
        <v>6850</v>
      </c>
      <c r="F62" s="82"/>
      <c r="G62" s="37">
        <v>6600</v>
      </c>
      <c r="H62" s="37">
        <v>1.5</v>
      </c>
      <c r="I62" s="37">
        <f>G62*H62</f>
        <v>9900</v>
      </c>
      <c r="K62" s="82"/>
      <c r="L62">
        <v>11000</v>
      </c>
      <c r="M62">
        <v>2.5</v>
      </c>
      <c r="N62">
        <f>L62*M62</f>
        <v>27500</v>
      </c>
      <c r="P62" s="82"/>
      <c r="Q62">
        <v>35000</v>
      </c>
      <c r="R62">
        <v>2.5</v>
      </c>
      <c r="S62">
        <f>Q62*R62</f>
        <v>87500</v>
      </c>
      <c r="U62" s="82"/>
      <c r="V62">
        <v>13000</v>
      </c>
      <c r="W62">
        <v>2.5</v>
      </c>
      <c r="X62">
        <f t="shared" ref="X62:X64" si="21">V62*W62</f>
        <v>32500</v>
      </c>
    </row>
    <row r="63" spans="2:24" x14ac:dyDescent="0.2">
      <c r="B63" t="s">
        <v>156</v>
      </c>
      <c r="C63" s="23">
        <v>12</v>
      </c>
      <c r="D63" s="37">
        <v>100</v>
      </c>
      <c r="E63" s="88">
        <f t="shared" si="20"/>
        <v>1200</v>
      </c>
      <c r="F63" s="82"/>
      <c r="G63" s="37">
        <v>12</v>
      </c>
      <c r="H63" s="37">
        <v>100</v>
      </c>
      <c r="I63" s="37">
        <f>G63*H63</f>
        <v>1200</v>
      </c>
      <c r="K63" s="82"/>
      <c r="P63" s="82"/>
      <c r="Q63">
        <v>12</v>
      </c>
      <c r="R63">
        <v>100</v>
      </c>
      <c r="S63">
        <f>Q63*R63</f>
        <v>1200</v>
      </c>
      <c r="U63" s="82"/>
    </row>
    <row r="64" spans="2:24" x14ac:dyDescent="0.2">
      <c r="B64" t="s">
        <v>375</v>
      </c>
      <c r="C64" s="23">
        <v>15800</v>
      </c>
      <c r="D64" s="37">
        <v>2.1</v>
      </c>
      <c r="E64" s="88">
        <f t="shared" si="20"/>
        <v>33180</v>
      </c>
      <c r="F64" s="82"/>
      <c r="G64" s="37">
        <f>3000*1.6</f>
        <v>4800</v>
      </c>
      <c r="H64" s="37">
        <v>2.1</v>
      </c>
      <c r="I64" s="37">
        <f>G64*H64</f>
        <v>10080</v>
      </c>
      <c r="K64" s="82"/>
      <c r="L64">
        <v>13000</v>
      </c>
      <c r="M64">
        <v>3</v>
      </c>
      <c r="N64">
        <f>L64*M64</f>
        <v>39000</v>
      </c>
      <c r="P64" s="82"/>
      <c r="Q64">
        <f>3*L64</f>
        <v>39000</v>
      </c>
      <c r="R64">
        <v>3</v>
      </c>
      <c r="S64">
        <f>Q64*R64</f>
        <v>117000</v>
      </c>
      <c r="U64" s="82"/>
      <c r="V64">
        <v>11000</v>
      </c>
      <c r="W64">
        <v>2</v>
      </c>
      <c r="X64">
        <f t="shared" si="21"/>
        <v>22000</v>
      </c>
    </row>
    <row r="65" spans="2:24" x14ac:dyDescent="0.2">
      <c r="E65" s="31"/>
      <c r="F65" s="82"/>
      <c r="K65" s="82"/>
      <c r="P65" s="82"/>
      <c r="U65" s="82"/>
    </row>
    <row r="66" spans="2:24" x14ac:dyDescent="0.2">
      <c r="B66" t="s">
        <v>162</v>
      </c>
      <c r="C66" s="37">
        <v>9630</v>
      </c>
      <c r="D66" s="37">
        <v>6</v>
      </c>
      <c r="E66" s="88">
        <f t="shared" si="20"/>
        <v>57780</v>
      </c>
      <c r="F66" s="82"/>
      <c r="K66" s="82"/>
      <c r="P66" s="82"/>
      <c r="U66" s="82"/>
    </row>
    <row r="67" spans="2:24" x14ac:dyDescent="0.2">
      <c r="B67" t="s">
        <v>160</v>
      </c>
      <c r="C67" s="37">
        <v>1</v>
      </c>
      <c r="D67" s="37">
        <v>616</v>
      </c>
      <c r="E67" s="88">
        <f t="shared" si="20"/>
        <v>616</v>
      </c>
      <c r="F67" s="82"/>
      <c r="I67" s="37">
        <v>200</v>
      </c>
      <c r="K67" s="82"/>
      <c r="P67" s="82"/>
      <c r="U67" s="82"/>
    </row>
    <row r="68" spans="2:24" x14ac:dyDescent="0.2">
      <c r="B68" t="s">
        <v>161</v>
      </c>
      <c r="C68" s="37">
        <v>6550</v>
      </c>
      <c r="D68" s="37">
        <v>0.5</v>
      </c>
      <c r="E68" s="23">
        <f t="shared" si="20"/>
        <v>3275</v>
      </c>
      <c r="F68" s="82"/>
      <c r="K68" s="82"/>
      <c r="P68" s="82"/>
      <c r="U68" s="82"/>
    </row>
    <row r="69" spans="2:24" x14ac:dyDescent="0.2">
      <c r="C69" s="37"/>
      <c r="D69" s="37"/>
      <c r="E69" s="23"/>
      <c r="F69" s="82"/>
      <c r="K69" s="82"/>
      <c r="P69" s="82"/>
      <c r="U69" s="82"/>
    </row>
    <row r="70" spans="2:24" x14ac:dyDescent="0.2">
      <c r="B70" s="35" t="s">
        <v>362</v>
      </c>
      <c r="C70" s="36"/>
      <c r="D70" s="36"/>
      <c r="E70" s="79"/>
      <c r="F70" s="82"/>
      <c r="G70" s="36"/>
      <c r="H70" s="36"/>
      <c r="I70" s="36"/>
      <c r="K70" s="82"/>
      <c r="P70" s="82"/>
      <c r="U70" s="82"/>
    </row>
    <row r="71" spans="2:24" x14ac:dyDescent="0.2">
      <c r="B71" s="80" t="s">
        <v>358</v>
      </c>
      <c r="C71" s="36"/>
      <c r="D71" s="36"/>
      <c r="E71" s="81">
        <f>SUM(E44:E48)</f>
        <v>16483.112000000001</v>
      </c>
      <c r="F71" s="82"/>
      <c r="G71" s="36"/>
      <c r="H71" s="36"/>
      <c r="I71" s="81">
        <f>SUM(I44:I48)</f>
        <v>14982.4</v>
      </c>
      <c r="K71" s="82"/>
      <c r="N71" s="81">
        <f>SUM(N44:N48)</f>
        <v>42240</v>
      </c>
      <c r="P71" s="82"/>
      <c r="S71" s="81">
        <f>SUM(S44:S48)</f>
        <v>42700.800000000003</v>
      </c>
      <c r="U71" s="82"/>
      <c r="X71" s="81">
        <f>SUM(X44:X48)</f>
        <v>43960</v>
      </c>
    </row>
    <row r="72" spans="2:24" x14ac:dyDescent="0.2">
      <c r="B72" s="80" t="s">
        <v>363</v>
      </c>
      <c r="C72" s="36"/>
      <c r="D72" s="36"/>
      <c r="E72" s="81">
        <f>SUM(E51:E59)</f>
        <v>11462.800000000001</v>
      </c>
      <c r="F72" s="82"/>
      <c r="G72" s="36"/>
      <c r="H72" s="36"/>
      <c r="I72" s="81">
        <f>SUM(I51:I59)</f>
        <v>12414.759999999998</v>
      </c>
      <c r="K72" s="82"/>
      <c r="N72" s="81">
        <f>SUM(N51:N59)</f>
        <v>31059</v>
      </c>
      <c r="P72" s="82"/>
      <c r="S72" s="81">
        <f>SUM(S51:S59)</f>
        <v>56425</v>
      </c>
      <c r="U72" s="82"/>
      <c r="X72" s="81">
        <f>SUM(X51:X59)</f>
        <v>28199</v>
      </c>
    </row>
    <row r="73" spans="2:24" x14ac:dyDescent="0.2">
      <c r="B73" s="80" t="s">
        <v>154</v>
      </c>
      <c r="C73" s="36"/>
      <c r="D73" s="36"/>
      <c r="E73" s="36">
        <f>SUM(E62:E64)+E67</f>
        <v>41846</v>
      </c>
      <c r="F73" s="82"/>
      <c r="G73" s="36"/>
      <c r="H73" s="36"/>
      <c r="I73" s="36">
        <f>SUM(I62:I64)+I67</f>
        <v>21380</v>
      </c>
      <c r="K73" s="82"/>
      <c r="N73" s="36">
        <f>SUM(N62:N64)+N67</f>
        <v>66500</v>
      </c>
      <c r="P73" s="82"/>
      <c r="S73" s="36">
        <f>SUM(S62:S64)+S67</f>
        <v>205700</v>
      </c>
      <c r="U73" s="82"/>
      <c r="X73" s="36">
        <f>SUM(X62:X64)+X67</f>
        <v>54500</v>
      </c>
    </row>
    <row r="74" spans="2:24" x14ac:dyDescent="0.2">
      <c r="B74" s="80" t="s">
        <v>364</v>
      </c>
      <c r="C74" s="36"/>
      <c r="D74" s="36"/>
      <c r="E74" s="81">
        <f>SUM(E31:E35)+SUM(E38:E39)</f>
        <v>22509.760000000002</v>
      </c>
      <c r="F74" s="82"/>
      <c r="G74" s="36"/>
      <c r="H74" s="36"/>
      <c r="I74" s="81">
        <f>SUM(I31:I35)+SUM(I38:I39)</f>
        <v>10170</v>
      </c>
      <c r="K74" s="82"/>
      <c r="N74" s="81">
        <f>SUM(N31:N35)+SUM(N38:N39)</f>
        <v>13860</v>
      </c>
      <c r="P74" s="82"/>
      <c r="S74" s="81">
        <f>SUM(S31:S35)+SUM(S38:S39)</f>
        <v>23940</v>
      </c>
      <c r="U74" s="82"/>
      <c r="X74" s="81">
        <f>SUM(X31:X35)+SUM(X38:X39)</f>
        <v>16852.5</v>
      </c>
    </row>
    <row r="75" spans="2:24" x14ac:dyDescent="0.2">
      <c r="B75" s="35" t="s">
        <v>365</v>
      </c>
      <c r="C75" s="38"/>
      <c r="D75" s="38"/>
      <c r="E75" s="78">
        <f>SUM(E71:E74)</f>
        <v>92301.67200000002</v>
      </c>
      <c r="F75" s="85"/>
      <c r="G75" s="38"/>
      <c r="H75" s="38"/>
      <c r="I75" s="78">
        <f>SUM(I71:I74)</f>
        <v>58947.159999999996</v>
      </c>
      <c r="K75" s="82"/>
      <c r="N75" s="78">
        <f>SUM(N71:N74)</f>
        <v>153659</v>
      </c>
      <c r="P75" s="82"/>
      <c r="S75" s="78">
        <f>SUM(S71:S74)</f>
        <v>328765.8</v>
      </c>
      <c r="U75" s="82"/>
      <c r="X75" s="78">
        <f>SUM(X71:X74)</f>
        <v>143511.5</v>
      </c>
    </row>
    <row r="76" spans="2:24" x14ac:dyDescent="0.2">
      <c r="C76" s="37"/>
      <c r="D76" s="37"/>
      <c r="E76" s="29"/>
      <c r="F76" s="82"/>
      <c r="K76" s="82"/>
      <c r="P76" s="82"/>
      <c r="U76" s="82"/>
    </row>
    <row r="77" spans="2:24" x14ac:dyDescent="0.2">
      <c r="B77" s="336" t="s">
        <v>831</v>
      </c>
      <c r="C77" s="37"/>
      <c r="D77" s="37"/>
      <c r="E77" s="337">
        <f>E75/10000</f>
        <v>9.2301672000000021</v>
      </c>
      <c r="F77" s="82"/>
      <c r="I77" s="337">
        <f>I75/3000</f>
        <v>19.649053333333331</v>
      </c>
      <c r="K77" s="82"/>
      <c r="N77" s="337">
        <f>N75/10000</f>
        <v>15.3659</v>
      </c>
      <c r="P77" s="82"/>
      <c r="S77" s="337">
        <f>S75/30000</f>
        <v>10.95886</v>
      </c>
      <c r="U77" s="82"/>
      <c r="X77" s="337">
        <f>X75/10000</f>
        <v>14.351150000000001</v>
      </c>
    </row>
    <row r="78" spans="2:24" x14ac:dyDescent="0.2">
      <c r="C78" s="37"/>
      <c r="D78" s="37"/>
      <c r="E78" s="29"/>
      <c r="F78" s="82"/>
      <c r="K78" s="82"/>
      <c r="P78" s="82"/>
      <c r="U78" s="82"/>
    </row>
    <row r="79" spans="2:24" x14ac:dyDescent="0.2">
      <c r="C79" s="28"/>
      <c r="D79" s="37"/>
      <c r="E79" s="23"/>
      <c r="F79" s="82"/>
      <c r="K79" s="82"/>
      <c r="P79" s="82"/>
      <c r="U79" s="82"/>
    </row>
    <row r="80" spans="2:24" x14ac:dyDescent="0.2">
      <c r="D80" s="30"/>
      <c r="F80" s="82"/>
      <c r="K80" s="82"/>
      <c r="P80" s="82"/>
      <c r="U80" s="82"/>
    </row>
    <row r="81" spans="2:12" s="25" customFormat="1" x14ac:dyDescent="0.2">
      <c r="G81" s="73"/>
      <c r="H81" s="73"/>
      <c r="I81" s="73"/>
    </row>
    <row r="82" spans="2:12" x14ac:dyDescent="0.2">
      <c r="E82" s="31"/>
    </row>
    <row r="83" spans="2:12" x14ac:dyDescent="0.2">
      <c r="B83" s="11" t="s">
        <v>163</v>
      </c>
      <c r="C83" s="11" t="s">
        <v>164</v>
      </c>
      <c r="E83" s="31"/>
    </row>
    <row r="84" spans="2:12" x14ac:dyDescent="0.2">
      <c r="B84" s="11" t="s">
        <v>178</v>
      </c>
      <c r="C84" s="11"/>
      <c r="E84" s="31"/>
      <c r="L84" t="s">
        <v>805</v>
      </c>
    </row>
    <row r="85" spans="2:12" x14ac:dyDescent="0.2">
      <c r="B85" s="34" t="s">
        <v>165</v>
      </c>
      <c r="C85" s="34">
        <v>30</v>
      </c>
      <c r="D85" s="34">
        <v>60</v>
      </c>
      <c r="E85" s="34">
        <v>120</v>
      </c>
    </row>
    <row r="86" spans="2:12" x14ac:dyDescent="0.2">
      <c r="B86" t="s">
        <v>166</v>
      </c>
      <c r="C86" s="37">
        <v>14</v>
      </c>
      <c r="D86" s="37">
        <v>26</v>
      </c>
      <c r="E86" s="37">
        <v>48</v>
      </c>
    </row>
    <row r="87" spans="2:12" x14ac:dyDescent="0.2">
      <c r="B87" t="s">
        <v>204</v>
      </c>
      <c r="C87" s="37">
        <v>10</v>
      </c>
      <c r="D87" s="37">
        <v>10</v>
      </c>
      <c r="E87" s="37">
        <v>10</v>
      </c>
    </row>
    <row r="88" spans="2:12" x14ac:dyDescent="0.2">
      <c r="B88" t="s">
        <v>167</v>
      </c>
      <c r="C88" s="37">
        <v>227.5</v>
      </c>
      <c r="D88" s="37">
        <v>422.5</v>
      </c>
      <c r="E88" s="37">
        <v>180</v>
      </c>
    </row>
    <row r="89" spans="2:12" x14ac:dyDescent="0.2">
      <c r="B89" t="s">
        <v>168</v>
      </c>
      <c r="C89" s="37">
        <v>22.7</v>
      </c>
      <c r="D89" s="37">
        <v>42.2</v>
      </c>
      <c r="E89" s="37">
        <v>78</v>
      </c>
    </row>
    <row r="90" spans="2:12" x14ac:dyDescent="0.2">
      <c r="B90" t="s">
        <v>169</v>
      </c>
      <c r="C90" s="37">
        <v>40</v>
      </c>
      <c r="D90" s="37">
        <v>700</v>
      </c>
      <c r="E90" s="37">
        <v>1200</v>
      </c>
    </row>
    <row r="91" spans="2:12" x14ac:dyDescent="0.2">
      <c r="B91" s="35" t="s">
        <v>173</v>
      </c>
      <c r="C91" s="36"/>
      <c r="D91" s="36"/>
      <c r="E91" s="36"/>
    </row>
    <row r="92" spans="2:12" x14ac:dyDescent="0.2">
      <c r="B92" t="s">
        <v>171</v>
      </c>
      <c r="C92" s="37">
        <v>7.5</v>
      </c>
      <c r="D92" s="37">
        <v>13.5</v>
      </c>
      <c r="E92" s="37">
        <v>24</v>
      </c>
    </row>
    <row r="93" spans="2:12" x14ac:dyDescent="0.2">
      <c r="B93" t="s">
        <v>170</v>
      </c>
      <c r="C93" s="37">
        <v>22.5</v>
      </c>
      <c r="D93" s="37">
        <v>46.5</v>
      </c>
      <c r="E93" s="37">
        <v>96</v>
      </c>
    </row>
    <row r="94" spans="2:12" x14ac:dyDescent="0.2">
      <c r="B94" s="35" t="s">
        <v>174</v>
      </c>
      <c r="C94" s="36"/>
      <c r="D94" s="36"/>
      <c r="E94" s="36"/>
    </row>
    <row r="95" spans="2:12" x14ac:dyDescent="0.2">
      <c r="B95" t="s">
        <v>172</v>
      </c>
      <c r="C95" s="1079">
        <v>0.09</v>
      </c>
      <c r="D95" s="1079"/>
      <c r="E95" s="1079"/>
    </row>
    <row r="96" spans="2:12" x14ac:dyDescent="0.2">
      <c r="B96" t="s">
        <v>175</v>
      </c>
      <c r="C96" s="1079">
        <v>90</v>
      </c>
      <c r="D96" s="1079"/>
      <c r="E96" s="1079"/>
    </row>
    <row r="97" spans="2:5" x14ac:dyDescent="0.2">
      <c r="B97" t="s">
        <v>176</v>
      </c>
      <c r="C97" s="1079">
        <v>1.1000000000000001</v>
      </c>
      <c r="D97" s="1079"/>
      <c r="E97" s="1079"/>
    </row>
    <row r="98" spans="2:5" x14ac:dyDescent="0.2">
      <c r="B98" t="s">
        <v>177</v>
      </c>
      <c r="C98" s="1079">
        <v>9</v>
      </c>
      <c r="D98" s="1079"/>
      <c r="E98" s="1079"/>
    </row>
    <row r="99" spans="2:5" x14ac:dyDescent="0.2">
      <c r="B99" t="s">
        <v>181</v>
      </c>
      <c r="C99" s="1079">
        <v>1.9</v>
      </c>
      <c r="D99" s="1079"/>
      <c r="E99" s="1079"/>
    </row>
    <row r="100" spans="2:5" x14ac:dyDescent="0.2">
      <c r="B100" s="35" t="s">
        <v>193</v>
      </c>
      <c r="C100" s="36"/>
      <c r="D100" s="36"/>
      <c r="E100" s="36"/>
    </row>
    <row r="101" spans="2:5" x14ac:dyDescent="0.2">
      <c r="B101" t="s">
        <v>192</v>
      </c>
      <c r="C101" s="1079">
        <v>9.8000000000000007</v>
      </c>
      <c r="D101" s="1079"/>
      <c r="E101" s="1079"/>
    </row>
    <row r="102" spans="2:5" x14ac:dyDescent="0.2">
      <c r="B102" t="s">
        <v>179</v>
      </c>
      <c r="C102" s="1079">
        <v>-1.5</v>
      </c>
      <c r="D102" s="1079"/>
      <c r="E102" s="1079"/>
    </row>
    <row r="103" spans="2:5" x14ac:dyDescent="0.2">
      <c r="B103" t="s">
        <v>180</v>
      </c>
      <c r="C103" s="1079">
        <v>-0.8</v>
      </c>
      <c r="D103" s="1079"/>
      <c r="E103" s="1079"/>
    </row>
    <row r="104" spans="2:5" x14ac:dyDescent="0.2">
      <c r="B104" t="s">
        <v>182</v>
      </c>
      <c r="C104" s="1079">
        <v>-0.3</v>
      </c>
      <c r="D104" s="1079"/>
      <c r="E104" s="1079"/>
    </row>
    <row r="105" spans="2:5" x14ac:dyDescent="0.2">
      <c r="B105" t="s">
        <v>183</v>
      </c>
      <c r="C105" s="1079">
        <v>-3.2</v>
      </c>
      <c r="D105" s="1079"/>
      <c r="E105" s="1079"/>
    </row>
    <row r="106" spans="2:5" x14ac:dyDescent="0.2">
      <c r="B106" t="s">
        <v>184</v>
      </c>
      <c r="C106" s="1079">
        <v>-5.8</v>
      </c>
      <c r="D106" s="1079"/>
      <c r="E106" s="1079"/>
    </row>
    <row r="107" spans="2:5" x14ac:dyDescent="0.2">
      <c r="B107" t="s">
        <v>185</v>
      </c>
      <c r="C107" s="1079">
        <v>4</v>
      </c>
      <c r="D107" s="1079"/>
      <c r="E107" s="1079"/>
    </row>
    <row r="108" spans="2:5" x14ac:dyDescent="0.2">
      <c r="B108" s="35" t="s">
        <v>194</v>
      </c>
      <c r="C108" s="36"/>
      <c r="D108" s="36"/>
      <c r="E108" s="36"/>
    </row>
    <row r="109" spans="2:5" x14ac:dyDescent="0.2">
      <c r="B109" t="s">
        <v>186</v>
      </c>
      <c r="C109" s="37">
        <v>27000</v>
      </c>
      <c r="D109" s="37">
        <v>51000</v>
      </c>
      <c r="E109" s="37">
        <v>96000</v>
      </c>
    </row>
    <row r="110" spans="2:5" x14ac:dyDescent="0.2">
      <c r="B110" t="s">
        <v>187</v>
      </c>
      <c r="C110" s="37">
        <v>30</v>
      </c>
      <c r="D110" s="37">
        <v>60</v>
      </c>
      <c r="E110" s="37">
        <v>120</v>
      </c>
    </row>
    <row r="111" spans="2:5" x14ac:dyDescent="0.2">
      <c r="B111" t="s">
        <v>188</v>
      </c>
      <c r="C111" s="37">
        <v>0.9</v>
      </c>
      <c r="D111" s="37">
        <v>0.85</v>
      </c>
      <c r="E111" s="37">
        <v>0.8</v>
      </c>
    </row>
    <row r="112" spans="2:5" x14ac:dyDescent="0.2">
      <c r="B112" t="s">
        <v>189</v>
      </c>
      <c r="C112" s="37">
        <v>4500</v>
      </c>
      <c r="D112" s="37">
        <v>9000</v>
      </c>
      <c r="E112" s="37">
        <v>18000</v>
      </c>
    </row>
    <row r="113" spans="2:9" x14ac:dyDescent="0.2">
      <c r="B113" t="s">
        <v>190</v>
      </c>
      <c r="C113" s="37">
        <v>15900</v>
      </c>
      <c r="D113" s="37">
        <v>28400</v>
      </c>
      <c r="E113" s="37">
        <v>48500</v>
      </c>
    </row>
    <row r="114" spans="2:9" x14ac:dyDescent="0.2">
      <c r="B114" t="s">
        <v>191</v>
      </c>
      <c r="C114" s="37">
        <v>12600</v>
      </c>
      <c r="D114" s="37">
        <v>25000</v>
      </c>
      <c r="E114" s="37">
        <v>50000</v>
      </c>
    </row>
    <row r="115" spans="2:9" x14ac:dyDescent="0.2">
      <c r="B115" t="s">
        <v>195</v>
      </c>
      <c r="C115" s="37">
        <v>2000</v>
      </c>
      <c r="D115" s="37">
        <v>4000</v>
      </c>
      <c r="E115" s="37">
        <v>6000</v>
      </c>
    </row>
    <row r="116" spans="2:9" x14ac:dyDescent="0.2">
      <c r="B116" t="s">
        <v>196</v>
      </c>
      <c r="C116" s="37">
        <v>21300</v>
      </c>
      <c r="D116" s="37">
        <v>42800</v>
      </c>
      <c r="E116" s="37">
        <v>81000</v>
      </c>
    </row>
    <row r="117" spans="2:9" x14ac:dyDescent="0.2">
      <c r="B117" t="s">
        <v>197</v>
      </c>
      <c r="C117" s="37">
        <v>2500</v>
      </c>
      <c r="D117" s="37">
        <v>4800</v>
      </c>
      <c r="E117" s="37">
        <v>6500</v>
      </c>
    </row>
    <row r="118" spans="2:9" x14ac:dyDescent="0.2">
      <c r="B118" t="s">
        <v>198</v>
      </c>
      <c r="C118" s="37">
        <v>1200</v>
      </c>
      <c r="D118" s="37">
        <v>2500</v>
      </c>
      <c r="E118" s="37">
        <v>3000</v>
      </c>
    </row>
    <row r="119" spans="2:9" x14ac:dyDescent="0.2">
      <c r="B119" t="s">
        <v>199</v>
      </c>
      <c r="C119" s="37">
        <v>2000</v>
      </c>
      <c r="D119" s="37">
        <v>3500</v>
      </c>
      <c r="E119" s="37">
        <v>6000</v>
      </c>
    </row>
    <row r="120" spans="2:9" x14ac:dyDescent="0.2">
      <c r="B120" t="s">
        <v>200</v>
      </c>
      <c r="C120" s="37">
        <v>8000</v>
      </c>
      <c r="D120" s="37">
        <v>15000</v>
      </c>
      <c r="E120" s="37">
        <v>25000</v>
      </c>
    </row>
    <row r="121" spans="2:9" x14ac:dyDescent="0.2">
      <c r="B121" t="s">
        <v>201</v>
      </c>
      <c r="C121" s="37">
        <v>97000</v>
      </c>
      <c r="D121" s="37">
        <v>186000</v>
      </c>
      <c r="E121" s="37">
        <v>340000</v>
      </c>
    </row>
    <row r="122" spans="2:9" x14ac:dyDescent="0.2">
      <c r="B122" t="s">
        <v>202</v>
      </c>
      <c r="C122" s="37">
        <v>3.23</v>
      </c>
      <c r="D122" s="37">
        <v>3.1</v>
      </c>
      <c r="E122" s="37">
        <v>2.83</v>
      </c>
    </row>
    <row r="123" spans="2:9" x14ac:dyDescent="0.2">
      <c r="B123" s="35" t="s">
        <v>203</v>
      </c>
      <c r="C123" s="38">
        <v>23100</v>
      </c>
      <c r="D123" s="38">
        <v>54000</v>
      </c>
      <c r="E123" s="38">
        <v>140400</v>
      </c>
    </row>
    <row r="124" spans="2:9" x14ac:dyDescent="0.2">
      <c r="B124" t="s">
        <v>205</v>
      </c>
      <c r="C124" s="37">
        <v>0.4</v>
      </c>
      <c r="D124" s="37">
        <v>0.6</v>
      </c>
      <c r="E124" s="37">
        <v>1</v>
      </c>
    </row>
    <row r="125" spans="2:9" x14ac:dyDescent="0.2">
      <c r="C125" s="37"/>
      <c r="D125" s="37"/>
      <c r="E125" s="37"/>
    </row>
    <row r="127" spans="2:9" s="25" customFormat="1" x14ac:dyDescent="0.2">
      <c r="G127" s="73"/>
      <c r="H127" s="73"/>
      <c r="I127" s="73"/>
    </row>
    <row r="129" spans="2:21" x14ac:dyDescent="0.2">
      <c r="E129" t="s">
        <v>894</v>
      </c>
      <c r="G129" s="37" t="s">
        <v>390</v>
      </c>
      <c r="H129" s="37" t="s">
        <v>392</v>
      </c>
    </row>
    <row r="130" spans="2:21" x14ac:dyDescent="0.2">
      <c r="E130">
        <v>0.5</v>
      </c>
      <c r="G130" s="37">
        <v>1</v>
      </c>
      <c r="H130" s="37">
        <v>0.5</v>
      </c>
      <c r="I130" s="37" t="s">
        <v>895</v>
      </c>
    </row>
    <row r="131" spans="2:21" x14ac:dyDescent="0.2">
      <c r="D131" s="2"/>
      <c r="E131" s="112">
        <v>3</v>
      </c>
      <c r="F131" s="290"/>
      <c r="G131" s="112">
        <v>10</v>
      </c>
      <c r="H131" s="112">
        <v>30</v>
      </c>
      <c r="I131" s="31"/>
      <c r="J131" s="31"/>
      <c r="K131" s="31"/>
    </row>
    <row r="132" spans="2:21" x14ac:dyDescent="0.2">
      <c r="D132" s="2"/>
      <c r="E132" s="293" t="s">
        <v>808</v>
      </c>
      <c r="F132" s="290"/>
      <c r="G132" s="293" t="s">
        <v>809</v>
      </c>
      <c r="H132" s="293" t="s">
        <v>810</v>
      </c>
      <c r="I132"/>
    </row>
    <row r="133" spans="2:21" x14ac:dyDescent="0.2">
      <c r="D133" s="2" t="s">
        <v>829</v>
      </c>
      <c r="E133" s="86">
        <v>125000</v>
      </c>
      <c r="G133" s="295">
        <v>300000</v>
      </c>
      <c r="H133" s="295">
        <v>750000</v>
      </c>
      <c r="I133"/>
    </row>
    <row r="134" spans="2:21" x14ac:dyDescent="0.2">
      <c r="D134" s="2" t="s">
        <v>811</v>
      </c>
      <c r="E134" s="296">
        <f>G52</f>
        <v>36582</v>
      </c>
      <c r="G134" s="296">
        <f>L52</f>
        <v>39420</v>
      </c>
      <c r="H134" s="296">
        <f>Q52</f>
        <v>65700</v>
      </c>
      <c r="I134" s="2" t="s">
        <v>1051</v>
      </c>
    </row>
    <row r="135" spans="2:21" x14ac:dyDescent="0.2">
      <c r="D135" s="2" t="s">
        <v>812</v>
      </c>
      <c r="E135" s="296">
        <f>G55</f>
        <v>30000</v>
      </c>
      <c r="G135" s="296">
        <f>L55</f>
        <v>80000</v>
      </c>
      <c r="H135" s="296">
        <f>Q55</f>
        <v>80000</v>
      </c>
      <c r="I135" s="2"/>
    </row>
    <row r="136" spans="2:21" x14ac:dyDescent="0.2">
      <c r="D136" s="2" t="s">
        <v>896</v>
      </c>
      <c r="E136" s="296">
        <f>E135/E130</f>
        <v>60000</v>
      </c>
      <c r="G136" s="296">
        <f>G135/G130</f>
        <v>80000</v>
      </c>
      <c r="H136" s="296">
        <f>H135/H130</f>
        <v>160000</v>
      </c>
      <c r="I136" s="2" t="s">
        <v>897</v>
      </c>
    </row>
    <row r="137" spans="2:21" x14ac:dyDescent="0.2">
      <c r="D137" s="2" t="s">
        <v>828</v>
      </c>
      <c r="E137" s="296">
        <f>H40</f>
        <v>678</v>
      </c>
      <c r="G137" s="296">
        <f>M40</f>
        <v>924</v>
      </c>
      <c r="H137" s="296">
        <f>R40</f>
        <v>1596</v>
      </c>
      <c r="I137" s="2"/>
    </row>
    <row r="138" spans="2:21" x14ac:dyDescent="0.2">
      <c r="D138" s="2" t="s">
        <v>830</v>
      </c>
      <c r="E138" s="297">
        <f>G44</f>
        <v>88800</v>
      </c>
      <c r="G138" s="297">
        <f>L44</f>
        <v>215000</v>
      </c>
      <c r="H138" s="296">
        <f>Q44</f>
        <v>270000</v>
      </c>
      <c r="I138" s="112">
        <v>3</v>
      </c>
      <c r="J138" s="294" t="s">
        <v>813</v>
      </c>
      <c r="K138" s="292"/>
    </row>
    <row r="139" spans="2:21" x14ac:dyDescent="0.2">
      <c r="D139" s="2"/>
      <c r="E139" s="813"/>
      <c r="G139" s="812"/>
      <c r="H139" s="812"/>
      <c r="I139"/>
      <c r="O139" s="299" t="s">
        <v>814</v>
      </c>
    </row>
    <row r="140" spans="2:21" x14ac:dyDescent="0.2">
      <c r="B140" s="33"/>
      <c r="C140" s="33"/>
      <c r="D140" s="33"/>
      <c r="E140" s="33"/>
      <c r="F140" s="33"/>
      <c r="G140" s="33"/>
      <c r="H140" s="33"/>
      <c r="I140" s="33"/>
      <c r="O140" s="300" t="s">
        <v>815</v>
      </c>
      <c r="P140" s="300" t="s">
        <v>815</v>
      </c>
      <c r="Q140" s="300" t="s">
        <v>815</v>
      </c>
      <c r="R140" s="300" t="s">
        <v>816</v>
      </c>
      <c r="U140" s="300" t="s">
        <v>815</v>
      </c>
    </row>
    <row r="141" spans="2:21" ht="15.75" x14ac:dyDescent="0.25">
      <c r="B141" s="33"/>
      <c r="C141" s="301"/>
      <c r="D141" s="302" t="s">
        <v>817</v>
      </c>
      <c r="E141" s="124"/>
      <c r="F141" s="303" t="s">
        <v>818</v>
      </c>
      <c r="G141" s="124"/>
      <c r="H141" s="124"/>
      <c r="I141" s="124"/>
      <c r="J141" s="124"/>
      <c r="K141" s="124"/>
      <c r="L141" s="303" t="s">
        <v>819</v>
      </c>
      <c r="M141" s="304" t="s">
        <v>820</v>
      </c>
      <c r="N141" s="305" t="s">
        <v>821</v>
      </c>
      <c r="O141" s="123"/>
      <c r="P141" s="123"/>
      <c r="Q141" s="830" t="s">
        <v>822</v>
      </c>
      <c r="R141" s="123"/>
      <c r="S141" t="s">
        <v>958</v>
      </c>
      <c r="U141" s="123"/>
    </row>
    <row r="142" spans="2:21" x14ac:dyDescent="0.2">
      <c r="B142" s="33"/>
      <c r="C142" s="33"/>
      <c r="D142" s="306" t="s">
        <v>823</v>
      </c>
      <c r="E142" s="307" t="s">
        <v>824</v>
      </c>
      <c r="F142" s="308">
        <v>0.65</v>
      </c>
      <c r="G142" s="308">
        <v>0.89</v>
      </c>
      <c r="H142" s="308"/>
      <c r="I142" s="308"/>
      <c r="J142" s="308"/>
      <c r="K142" s="308"/>
      <c r="L142" s="309">
        <f>AVERAGE(F142:I142)</f>
        <v>0.77</v>
      </c>
      <c r="M142" s="310">
        <f>L142*1.2</f>
        <v>0.92399999999999993</v>
      </c>
      <c r="N142" s="311">
        <v>0.3</v>
      </c>
      <c r="O142" s="312">
        <v>21</v>
      </c>
      <c r="P142" s="312"/>
      <c r="Q142" s="831">
        <v>20</v>
      </c>
      <c r="R142" s="313">
        <v>0.45</v>
      </c>
      <c r="S142" s="775">
        <v>0.35</v>
      </c>
      <c r="U142" s="312"/>
    </row>
    <row r="143" spans="2:21" x14ac:dyDescent="0.2">
      <c r="B143" s="33"/>
      <c r="C143" s="33"/>
      <c r="D143" s="306" t="s">
        <v>825</v>
      </c>
      <c r="E143" s="307" t="s">
        <v>826</v>
      </c>
      <c r="F143" s="308">
        <v>0.45</v>
      </c>
      <c r="G143" s="308">
        <v>0.52</v>
      </c>
      <c r="H143" s="308">
        <v>0.5</v>
      </c>
      <c r="I143" s="308"/>
      <c r="J143" s="308"/>
      <c r="K143" s="308"/>
      <c r="L143" s="309">
        <f>AVERAGE(F143:I143)</f>
        <v>0.49</v>
      </c>
      <c r="M143" s="310">
        <f>L143*1.2</f>
        <v>0.58799999999999997</v>
      </c>
      <c r="N143" s="311">
        <v>0.3</v>
      </c>
      <c r="O143" s="312">
        <v>21</v>
      </c>
      <c r="P143" s="312"/>
      <c r="Q143" s="832">
        <v>20</v>
      </c>
      <c r="R143" s="315">
        <v>0.45</v>
      </c>
      <c r="S143" s="775">
        <v>0.35</v>
      </c>
      <c r="U143" s="312"/>
    </row>
    <row r="144" spans="2:21" x14ac:dyDescent="0.2">
      <c r="B144" s="33"/>
      <c r="C144" s="33"/>
      <c r="D144" s="306" t="s">
        <v>104</v>
      </c>
      <c r="E144" s="307"/>
      <c r="F144" s="308"/>
      <c r="G144" s="308"/>
      <c r="H144" s="308"/>
      <c r="I144" s="308"/>
      <c r="J144" s="308"/>
      <c r="K144" s="308"/>
      <c r="L144" s="309"/>
      <c r="M144" s="310">
        <v>1.5</v>
      </c>
      <c r="N144" s="311">
        <v>1.5</v>
      </c>
      <c r="O144" s="312">
        <v>12</v>
      </c>
      <c r="P144" s="312">
        <v>15.4</v>
      </c>
      <c r="Q144" s="832">
        <v>14</v>
      </c>
      <c r="R144" s="315">
        <v>0.6</v>
      </c>
      <c r="S144" s="775">
        <v>0.5</v>
      </c>
      <c r="U144" s="312">
        <v>15.4</v>
      </c>
    </row>
    <row r="145" spans="2:21" x14ac:dyDescent="0.2">
      <c r="B145" s="33"/>
      <c r="C145" s="33"/>
      <c r="D145" s="316" t="s">
        <v>390</v>
      </c>
      <c r="E145" s="317" t="s">
        <v>827</v>
      </c>
      <c r="F145" s="318">
        <v>0.45</v>
      </c>
      <c r="G145" s="318">
        <v>1.05</v>
      </c>
      <c r="H145" s="318">
        <v>1.2</v>
      </c>
      <c r="I145" s="318">
        <v>1.33</v>
      </c>
      <c r="J145" s="318">
        <v>1.55</v>
      </c>
      <c r="K145" s="318"/>
      <c r="L145" s="319">
        <f>AVERAGE(F145:J145)</f>
        <v>1.1160000000000001</v>
      </c>
      <c r="M145" s="320">
        <v>2</v>
      </c>
      <c r="N145" s="321">
        <v>1</v>
      </c>
      <c r="O145" s="312">
        <v>24</v>
      </c>
      <c r="P145" s="322">
        <f>24/0.42</f>
        <v>57.142857142857146</v>
      </c>
      <c r="Q145" s="832">
        <v>24</v>
      </c>
      <c r="R145" s="323">
        <v>0.42</v>
      </c>
      <c r="S145" s="775">
        <v>0.9</v>
      </c>
      <c r="U145" s="322">
        <f>24/0.42</f>
        <v>57.142857142857146</v>
      </c>
    </row>
    <row r="146" spans="2:21" x14ac:dyDescent="0.2">
      <c r="B146" s="33"/>
      <c r="C146" s="33"/>
      <c r="D146" s="33"/>
      <c r="E146" s="33"/>
      <c r="F146" s="324"/>
      <c r="G146" s="33"/>
      <c r="H146" s="324"/>
      <c r="I146" s="33"/>
      <c r="O146" s="312">
        <v>15</v>
      </c>
      <c r="P146" s="312">
        <v>15.4</v>
      </c>
      <c r="Q146" s="314">
        <v>15</v>
      </c>
      <c r="R146" s="323">
        <v>0.48</v>
      </c>
      <c r="U146" s="312">
        <v>15.4</v>
      </c>
    </row>
    <row r="147" spans="2:21" x14ac:dyDescent="0.2">
      <c r="B147" s="33"/>
      <c r="C147" s="33"/>
      <c r="D147" s="299"/>
      <c r="E147" s="325"/>
      <c r="F147" s="325"/>
      <c r="G147" s="325"/>
      <c r="H147" s="33"/>
      <c r="I147" s="33"/>
      <c r="J147" s="3"/>
      <c r="K147" s="326"/>
      <c r="L147" s="326"/>
      <c r="M147" s="326"/>
    </row>
    <row r="148" spans="2:21" x14ac:dyDescent="0.2">
      <c r="B148" s="33"/>
      <c r="C148" s="33"/>
      <c r="G148"/>
      <c r="H148"/>
      <c r="I148" s="33"/>
      <c r="K148" s="62"/>
      <c r="L148" s="62"/>
      <c r="M148" s="62"/>
    </row>
    <row r="149" spans="2:21" x14ac:dyDescent="0.2">
      <c r="B149" s="33"/>
      <c r="C149" s="33"/>
      <c r="G149"/>
      <c r="H149"/>
      <c r="I149" s="33"/>
      <c r="J149" s="327"/>
      <c r="K149" s="19"/>
      <c r="L149" s="19"/>
      <c r="M149" s="19"/>
    </row>
    <row r="150" spans="2:21" x14ac:dyDescent="0.2">
      <c r="B150" s="33"/>
      <c r="C150" s="33"/>
      <c r="G150"/>
      <c r="H150"/>
      <c r="I150" s="33"/>
      <c r="J150" s="327"/>
      <c r="K150" s="19"/>
      <c r="L150" s="19"/>
      <c r="M150" s="19"/>
    </row>
    <row r="151" spans="2:21" x14ac:dyDescent="0.2">
      <c r="B151" s="33"/>
      <c r="C151" s="328"/>
      <c r="D151" s="2" t="s">
        <v>887</v>
      </c>
      <c r="G151"/>
      <c r="H151"/>
      <c r="I151" s="33"/>
      <c r="J151" s="327"/>
      <c r="K151" s="19"/>
      <c r="L151" s="19"/>
      <c r="M151" s="19"/>
    </row>
    <row r="152" spans="2:21" x14ac:dyDescent="0.2">
      <c r="B152" s="33"/>
      <c r="C152" s="33"/>
      <c r="D152" s="2" t="s">
        <v>888</v>
      </c>
      <c r="G152"/>
      <c r="H152"/>
      <c r="I152" s="33"/>
      <c r="J152" s="327"/>
      <c r="K152" s="19"/>
      <c r="L152" s="19"/>
      <c r="M152" s="19"/>
    </row>
    <row r="153" spans="2:21" x14ac:dyDescent="0.2">
      <c r="B153" s="33"/>
      <c r="C153" s="328"/>
      <c r="G153"/>
      <c r="H153"/>
      <c r="I153" s="33"/>
      <c r="J153" s="327"/>
      <c r="K153" s="19"/>
      <c r="L153" s="19"/>
      <c r="M153" s="19"/>
    </row>
    <row r="154" spans="2:21" x14ac:dyDescent="0.2">
      <c r="B154" s="33"/>
      <c r="C154" s="33"/>
      <c r="D154" s="2" t="s">
        <v>104</v>
      </c>
      <c r="E154" s="2" t="s">
        <v>889</v>
      </c>
      <c r="G154"/>
      <c r="H154"/>
      <c r="I154" s="33"/>
      <c r="J154" s="31"/>
      <c r="K154" s="31"/>
      <c r="L154" s="31"/>
      <c r="M154" s="31"/>
    </row>
    <row r="155" spans="2:21" x14ac:dyDescent="0.2">
      <c r="B155" s="33"/>
      <c r="C155" s="33"/>
      <c r="D155" s="2" t="s">
        <v>390</v>
      </c>
      <c r="E155" s="2" t="s">
        <v>890</v>
      </c>
      <c r="F155" s="114"/>
      <c r="G155" s="114"/>
      <c r="H155" s="33"/>
      <c r="I155" s="33"/>
      <c r="J155" s="31"/>
      <c r="K155" s="31"/>
      <c r="L155" s="31"/>
      <c r="M155" s="31"/>
    </row>
    <row r="156" spans="2:21" x14ac:dyDescent="0.2">
      <c r="B156" s="33"/>
      <c r="C156" s="33"/>
      <c r="D156" s="2" t="s">
        <v>891</v>
      </c>
      <c r="E156" s="2" t="s">
        <v>890</v>
      </c>
      <c r="F156" s="33"/>
      <c r="G156" s="325"/>
      <c r="H156" s="33"/>
      <c r="I156" s="33"/>
      <c r="J156" s="327"/>
      <c r="K156" s="19"/>
      <c r="L156" s="19"/>
      <c r="M156" s="19"/>
    </row>
    <row r="157" spans="2:21" x14ac:dyDescent="0.2">
      <c r="B157" s="33"/>
      <c r="C157" s="33"/>
      <c r="D157" s="2" t="s">
        <v>823</v>
      </c>
      <c r="E157" s="2" t="s">
        <v>892</v>
      </c>
      <c r="F157" s="33"/>
      <c r="G157" s="33"/>
      <c r="H157" s="33"/>
      <c r="I157" s="33"/>
      <c r="J157" s="327"/>
      <c r="K157" s="19"/>
      <c r="L157" s="19"/>
      <c r="M157" s="19"/>
    </row>
    <row r="158" spans="2:21" x14ac:dyDescent="0.2">
      <c r="B158" s="33"/>
      <c r="C158" s="33"/>
      <c r="D158" s="2" t="s">
        <v>825</v>
      </c>
      <c r="E158" s="2" t="s">
        <v>892</v>
      </c>
      <c r="F158" s="33"/>
      <c r="G158" s="325"/>
      <c r="H158" s="33"/>
      <c r="I158" s="33"/>
      <c r="J158" s="31"/>
      <c r="K158" s="31"/>
      <c r="L158" s="31"/>
      <c r="M158" s="31"/>
    </row>
    <row r="159" spans="2:21" x14ac:dyDescent="0.2">
      <c r="B159" s="33"/>
      <c r="C159" s="33"/>
      <c r="D159" s="2" t="s">
        <v>893</v>
      </c>
      <c r="E159" s="2" t="s">
        <v>892</v>
      </c>
      <c r="F159" s="328"/>
      <c r="G159" s="33"/>
      <c r="H159" s="33"/>
      <c r="I159" s="33"/>
      <c r="J159" s="102"/>
      <c r="K159" s="298"/>
      <c r="L159" s="298"/>
      <c r="M159" s="298"/>
      <c r="P159" s="3"/>
      <c r="U159" s="3"/>
    </row>
    <row r="160" spans="2:21" x14ac:dyDescent="0.2">
      <c r="B160" s="33"/>
      <c r="C160" s="33"/>
      <c r="D160" s="328"/>
      <c r="E160" s="114"/>
      <c r="F160" s="210"/>
      <c r="G160" s="210"/>
      <c r="H160" s="33"/>
      <c r="I160" s="33"/>
      <c r="J160" s="31"/>
      <c r="K160" s="31"/>
      <c r="L160" s="327"/>
      <c r="M160" s="298"/>
      <c r="P160" s="3"/>
      <c r="R160" s="2"/>
      <c r="S160" s="62"/>
      <c r="U160" s="3"/>
    </row>
    <row r="161" spans="2:21" x14ac:dyDescent="0.2">
      <c r="B161" s="33"/>
      <c r="C161" s="33"/>
      <c r="D161" s="328"/>
      <c r="E161" s="114"/>
      <c r="F161" s="210"/>
      <c r="G161" s="210"/>
      <c r="H161" s="33"/>
      <c r="I161" s="33"/>
      <c r="J161" s="31"/>
      <c r="K161" s="298"/>
      <c r="L161" s="298"/>
      <c r="M161" s="327"/>
      <c r="P161" s="329"/>
      <c r="R161" s="62"/>
      <c r="U161" s="329"/>
    </row>
    <row r="162" spans="2:21" x14ac:dyDescent="0.2">
      <c r="B162" s="33"/>
      <c r="C162" s="33"/>
      <c r="D162" s="328"/>
      <c r="E162" s="114"/>
      <c r="F162" s="210"/>
      <c r="G162" s="210"/>
      <c r="H162" s="33"/>
      <c r="I162" s="33"/>
      <c r="J162" s="327"/>
      <c r="K162" s="330"/>
      <c r="M162" s="86"/>
      <c r="P162" s="331"/>
      <c r="Q162" s="290"/>
      <c r="R162" s="290"/>
      <c r="S162" s="28"/>
      <c r="U162" s="331"/>
    </row>
    <row r="163" spans="2:21" x14ac:dyDescent="0.2">
      <c r="B163" s="33"/>
      <c r="C163" s="33"/>
      <c r="D163" s="299"/>
      <c r="E163" s="33"/>
      <c r="F163" s="93"/>
      <c r="G163" s="210"/>
      <c r="H163" s="33"/>
      <c r="I163" s="33"/>
      <c r="J163" s="327"/>
      <c r="K163" s="19"/>
      <c r="L163" s="19"/>
      <c r="M163" s="86"/>
      <c r="P163" s="332"/>
      <c r="Q163" s="290"/>
      <c r="R163" s="290"/>
      <c r="S163" s="28"/>
      <c r="U163" s="332"/>
    </row>
    <row r="164" spans="2:21" x14ac:dyDescent="0.2">
      <c r="B164" s="33"/>
      <c r="C164" s="33"/>
      <c r="D164" s="328"/>
      <c r="E164" s="210"/>
      <c r="F164" s="210"/>
      <c r="G164" s="210"/>
      <c r="H164" s="33"/>
      <c r="I164" s="33"/>
      <c r="J164" s="2"/>
      <c r="K164" s="290"/>
      <c r="L164" s="290"/>
      <c r="M164" s="28"/>
      <c r="P164" s="332"/>
      <c r="Q164" s="290"/>
      <c r="R164" s="290"/>
      <c r="S164" s="28"/>
      <c r="U164" s="332"/>
    </row>
    <row r="165" spans="2:21" x14ac:dyDescent="0.2">
      <c r="B165" s="33"/>
      <c r="C165" s="33"/>
      <c r="D165" s="299"/>
      <c r="E165" s="210"/>
      <c r="F165" s="33"/>
      <c r="G165" s="333"/>
      <c r="H165" s="33"/>
      <c r="I165" s="33"/>
      <c r="J165" s="2"/>
      <c r="K165" s="290"/>
      <c r="L165" s="290"/>
      <c r="M165" s="28"/>
      <c r="P165" s="332"/>
      <c r="Q165" s="290"/>
      <c r="R165" s="290"/>
      <c r="S165" s="28"/>
      <c r="U165" s="332"/>
    </row>
    <row r="166" spans="2:21" x14ac:dyDescent="0.2">
      <c r="B166" s="33"/>
      <c r="C166" s="33"/>
      <c r="D166" s="33"/>
      <c r="E166" s="33"/>
      <c r="F166" s="33"/>
      <c r="G166" s="33"/>
      <c r="H166" s="33"/>
      <c r="I166" s="33"/>
      <c r="J166" s="334"/>
      <c r="M166" s="3"/>
      <c r="P166" s="335"/>
      <c r="Q166" s="326"/>
      <c r="R166" s="290"/>
      <c r="S166" s="330"/>
      <c r="U166" s="335"/>
    </row>
    <row r="167" spans="2:21" x14ac:dyDescent="0.2">
      <c r="B167" s="33"/>
      <c r="C167" s="33"/>
      <c r="D167" s="33"/>
      <c r="E167" s="33"/>
      <c r="F167" s="33"/>
      <c r="G167" s="33"/>
      <c r="H167" s="33"/>
      <c r="I167" s="33"/>
      <c r="J167" s="31"/>
      <c r="K167" s="31"/>
      <c r="L167" s="31"/>
      <c r="M167" s="31"/>
      <c r="N167" s="31"/>
    </row>
    <row r="168" spans="2:21" x14ac:dyDescent="0.2">
      <c r="B168" s="33"/>
      <c r="C168" s="33"/>
      <c r="D168" s="299"/>
      <c r="E168" s="328"/>
      <c r="F168" s="328"/>
      <c r="G168" s="328"/>
      <c r="H168" s="33"/>
      <c r="I168" s="33"/>
      <c r="J168" s="31"/>
      <c r="K168" s="31"/>
      <c r="L168" s="31"/>
      <c r="M168" s="19"/>
      <c r="N168" s="31"/>
      <c r="P168" s="2"/>
      <c r="R168" s="290"/>
      <c r="S168" s="28"/>
      <c r="U168" s="2"/>
    </row>
    <row r="169" spans="2:21" x14ac:dyDescent="0.2">
      <c r="B169" s="33"/>
      <c r="C169" s="33"/>
      <c r="D169" s="328"/>
      <c r="E169" s="114"/>
      <c r="F169" s="114"/>
      <c r="G169" s="114"/>
      <c r="H169" s="33"/>
      <c r="I169" s="33"/>
      <c r="J169" s="31"/>
      <c r="K169" s="31"/>
      <c r="L169" s="31"/>
      <c r="M169" s="31"/>
      <c r="N169" s="31"/>
    </row>
    <row r="173" spans="2:21" x14ac:dyDescent="0.2">
      <c r="B173" s="11" t="s">
        <v>1037</v>
      </c>
    </row>
    <row r="174" spans="2:21" x14ac:dyDescent="0.2">
      <c r="B174" t="s">
        <v>1036</v>
      </c>
      <c r="C174">
        <v>3.5</v>
      </c>
      <c r="D174" t="s">
        <v>815</v>
      </c>
    </row>
    <row r="175" spans="2:21" x14ac:dyDescent="0.2">
      <c r="B175" t="s">
        <v>1038</v>
      </c>
      <c r="C175">
        <v>1.5</v>
      </c>
      <c r="D175" t="s">
        <v>1039</v>
      </c>
    </row>
    <row r="176" spans="2:21" x14ac:dyDescent="0.2">
      <c r="B176" t="s">
        <v>1040</v>
      </c>
      <c r="C176">
        <v>800</v>
      </c>
      <c r="D176" t="s">
        <v>872</v>
      </c>
    </row>
    <row r="177" spans="2:15" x14ac:dyDescent="0.2">
      <c r="B177" t="s">
        <v>1041</v>
      </c>
      <c r="C177">
        <v>2500</v>
      </c>
      <c r="D177" t="s">
        <v>852</v>
      </c>
    </row>
    <row r="178" spans="2:15" x14ac:dyDescent="0.2">
      <c r="B178" t="s">
        <v>1042</v>
      </c>
      <c r="C178">
        <v>49</v>
      </c>
      <c r="D178" t="s">
        <v>1043</v>
      </c>
    </row>
    <row r="185" spans="2:15" x14ac:dyDescent="0.2">
      <c r="C185" s="11" t="s">
        <v>1049</v>
      </c>
    </row>
    <row r="187" spans="2:15" x14ac:dyDescent="0.2">
      <c r="E187" t="s">
        <v>1050</v>
      </c>
    </row>
    <row r="188" spans="2:15" x14ac:dyDescent="0.2">
      <c r="C188" s="835" t="s">
        <v>1046</v>
      </c>
      <c r="D188" s="835" t="s">
        <v>111</v>
      </c>
      <c r="E188" s="835" t="s">
        <v>111</v>
      </c>
      <c r="N188" s="835" t="s">
        <v>1046</v>
      </c>
      <c r="O188" t="s">
        <v>1048</v>
      </c>
    </row>
    <row r="189" spans="2:15" x14ac:dyDescent="0.2">
      <c r="C189" s="835" t="s">
        <v>116</v>
      </c>
      <c r="D189" s="835" t="s">
        <v>1047</v>
      </c>
      <c r="E189" s="835" t="s">
        <v>852</v>
      </c>
      <c r="N189" s="835" t="s">
        <v>116</v>
      </c>
      <c r="O189" t="s">
        <v>852</v>
      </c>
    </row>
    <row r="190" spans="2:15" x14ac:dyDescent="0.2">
      <c r="C190" s="835">
        <v>15</v>
      </c>
      <c r="D190" s="835">
        <f>30830*15</f>
        <v>462450</v>
      </c>
      <c r="E190" s="28">
        <f>D190*0.8</f>
        <v>369960</v>
      </c>
      <c r="N190" s="835">
        <v>3</v>
      </c>
      <c r="O190" s="30">
        <f>N190*4170+309060</f>
        <v>321570</v>
      </c>
    </row>
    <row r="191" spans="2:15" x14ac:dyDescent="0.2">
      <c r="C191" s="835">
        <v>30</v>
      </c>
      <c r="D191" s="835">
        <f>18784*30</f>
        <v>563520</v>
      </c>
      <c r="E191" s="28">
        <f t="shared" ref="E191:E195" si="22">D191*0.75</f>
        <v>422640</v>
      </c>
      <c r="N191" s="835">
        <v>5</v>
      </c>
      <c r="O191" s="30">
        <f t="shared" ref="O191:O195" si="23">N191*4170+309060</f>
        <v>329910</v>
      </c>
    </row>
    <row r="192" spans="2:15" x14ac:dyDescent="0.2">
      <c r="C192" s="835">
        <v>45</v>
      </c>
      <c r="D192" s="835">
        <f>13878*45</f>
        <v>624510</v>
      </c>
      <c r="E192" s="28">
        <f t="shared" si="22"/>
        <v>468382.5</v>
      </c>
      <c r="N192" s="835">
        <v>10</v>
      </c>
      <c r="O192" s="30">
        <f t="shared" si="23"/>
        <v>350760</v>
      </c>
    </row>
    <row r="193" spans="3:15" x14ac:dyDescent="0.2">
      <c r="C193" s="835">
        <v>60</v>
      </c>
      <c r="D193" s="835">
        <f>13119*60</f>
        <v>787140</v>
      </c>
      <c r="E193" s="28">
        <f t="shared" si="22"/>
        <v>590355</v>
      </c>
      <c r="N193" s="835">
        <v>20</v>
      </c>
      <c r="O193" s="30">
        <f t="shared" si="23"/>
        <v>392460</v>
      </c>
    </row>
    <row r="194" spans="3:15" x14ac:dyDescent="0.2">
      <c r="C194" s="835">
        <v>100</v>
      </c>
      <c r="D194" s="835">
        <f>9986*100</f>
        <v>998600</v>
      </c>
      <c r="E194" s="28">
        <f t="shared" si="22"/>
        <v>748950</v>
      </c>
      <c r="N194" s="835">
        <v>30</v>
      </c>
      <c r="O194" s="30">
        <f t="shared" si="23"/>
        <v>434160</v>
      </c>
    </row>
    <row r="195" spans="3:15" x14ac:dyDescent="0.2">
      <c r="C195" s="835">
        <v>200</v>
      </c>
      <c r="D195" s="835">
        <f>7536*200</f>
        <v>1507200</v>
      </c>
      <c r="E195" s="28">
        <f t="shared" si="22"/>
        <v>1130400</v>
      </c>
      <c r="N195" s="836">
        <v>50</v>
      </c>
      <c r="O195" s="30">
        <f t="shared" si="23"/>
        <v>517560</v>
      </c>
    </row>
  </sheetData>
  <sheetProtection password="D65F" sheet="1" objects="1" scenarios="1"/>
  <customSheetViews>
    <customSheetView guid="{2A376E74-9008-4CC4-AF78-5E9088D4FA1D}" state="hidden" topLeftCell="A25">
      <pane xSplit="2" ySplit="6" topLeftCell="C31" activePane="bottomRight" state="frozen"/>
      <selection pane="bottomRight" activeCell="C31" sqref="C31"/>
      <pageMargins left="0.7" right="0.7" top="0.78740157499999996" bottom="0.78740157499999996" header="0.3" footer="0.3"/>
    </customSheetView>
  </customSheetViews>
  <mergeCells count="12">
    <mergeCell ref="C107:E107"/>
    <mergeCell ref="C95:E95"/>
    <mergeCell ref="C96:E96"/>
    <mergeCell ref="C97:E97"/>
    <mergeCell ref="C98:E98"/>
    <mergeCell ref="C99:E99"/>
    <mergeCell ref="C101:E101"/>
    <mergeCell ref="C102:E102"/>
    <mergeCell ref="C103:E103"/>
    <mergeCell ref="C104:E104"/>
    <mergeCell ref="C105:E105"/>
    <mergeCell ref="C106:E106"/>
  </mergeCells>
  <pageMargins left="0.7" right="0.7" top="0.78740157499999996" bottom="0.78740157499999996"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2:F36"/>
  <sheetViews>
    <sheetView workbookViewId="0"/>
  </sheetViews>
  <sheetFormatPr baseColWidth="10" defaultRowHeight="12.75" x14ac:dyDescent="0.2"/>
  <cols>
    <col min="2" max="2" width="51.140625" customWidth="1"/>
    <col min="3" max="3" width="17.7109375" customWidth="1"/>
    <col min="4" max="4" width="18" customWidth="1"/>
    <col min="5" max="5" width="20.140625" customWidth="1"/>
  </cols>
  <sheetData>
    <row r="2" spans="2:6" x14ac:dyDescent="0.2">
      <c r="B2" s="3" t="s">
        <v>325</v>
      </c>
    </row>
    <row r="4" spans="2:6" x14ac:dyDescent="0.2">
      <c r="B4" s="2" t="s">
        <v>326</v>
      </c>
    </row>
    <row r="6" spans="2:6" x14ac:dyDescent="0.2">
      <c r="B6" s="60" t="s">
        <v>327</v>
      </c>
      <c r="C6" s="61" t="s">
        <v>328</v>
      </c>
      <c r="D6" s="61" t="s">
        <v>329</v>
      </c>
      <c r="E6" s="61" t="s">
        <v>330</v>
      </c>
    </row>
    <row r="7" spans="2:6" x14ac:dyDescent="0.2">
      <c r="B7" s="2" t="s">
        <v>331</v>
      </c>
      <c r="C7" s="62" t="s">
        <v>293</v>
      </c>
      <c r="D7" s="62" t="s">
        <v>332</v>
      </c>
      <c r="E7" s="62" t="s">
        <v>333</v>
      </c>
      <c r="F7" s="63" t="s">
        <v>334</v>
      </c>
    </row>
    <row r="8" spans="2:6" x14ac:dyDescent="0.2">
      <c r="C8" s="37"/>
      <c r="D8" s="37"/>
      <c r="E8" s="37"/>
    </row>
    <row r="9" spans="2:6" x14ac:dyDescent="0.2">
      <c r="B9" s="64" t="s">
        <v>335</v>
      </c>
      <c r="C9" s="37"/>
      <c r="D9" s="37"/>
      <c r="E9" s="37"/>
    </row>
    <row r="10" spans="2:6" x14ac:dyDescent="0.2">
      <c r="B10" s="2" t="s">
        <v>336</v>
      </c>
      <c r="C10" s="62" t="s">
        <v>38</v>
      </c>
      <c r="D10" s="37"/>
      <c r="E10" s="37"/>
    </row>
    <row r="11" spans="2:6" x14ac:dyDescent="0.2">
      <c r="B11" s="2" t="s">
        <v>337</v>
      </c>
      <c r="C11" s="62" t="s">
        <v>38</v>
      </c>
      <c r="D11" s="37"/>
      <c r="E11" s="37"/>
    </row>
    <row r="12" spans="2:6" ht="12.75" customHeight="1" x14ac:dyDescent="0.2">
      <c r="B12" s="2" t="s">
        <v>338</v>
      </c>
      <c r="C12" s="62" t="s">
        <v>38</v>
      </c>
      <c r="D12" s="37"/>
      <c r="E12" s="37"/>
    </row>
    <row r="13" spans="2:6" x14ac:dyDescent="0.2">
      <c r="C13" s="37"/>
      <c r="D13" s="37"/>
      <c r="E13" s="37"/>
    </row>
    <row r="14" spans="2:6" ht="12.75" customHeight="1" x14ac:dyDescent="0.2">
      <c r="B14" s="65" t="s">
        <v>339</v>
      </c>
      <c r="C14" s="62" t="s">
        <v>269</v>
      </c>
      <c r="D14" s="37">
        <v>5</v>
      </c>
      <c r="E14" s="37"/>
    </row>
    <row r="15" spans="2:6" x14ac:dyDescent="0.2">
      <c r="C15" s="37"/>
      <c r="D15" s="37"/>
      <c r="E15" s="37"/>
    </row>
    <row r="16" spans="2:6" x14ac:dyDescent="0.2">
      <c r="B16" s="2" t="s">
        <v>340</v>
      </c>
      <c r="C16" s="37"/>
      <c r="D16" s="37"/>
      <c r="E16" s="37"/>
    </row>
    <row r="17" spans="2:5" x14ac:dyDescent="0.2">
      <c r="B17" s="2" t="s">
        <v>341</v>
      </c>
      <c r="C17" s="62" t="s">
        <v>269</v>
      </c>
      <c r="D17" s="37">
        <v>6.5</v>
      </c>
      <c r="E17" s="37">
        <v>3.5</v>
      </c>
    </row>
    <row r="18" spans="2:5" x14ac:dyDescent="0.2">
      <c r="B18" s="2" t="s">
        <v>342</v>
      </c>
      <c r="C18" s="62" t="s">
        <v>269</v>
      </c>
      <c r="D18" s="37">
        <v>5</v>
      </c>
      <c r="E18" s="37">
        <v>0.5</v>
      </c>
    </row>
    <row r="19" spans="2:5" x14ac:dyDescent="0.2">
      <c r="C19" s="37"/>
      <c r="D19" s="37"/>
      <c r="E19" s="37"/>
    </row>
    <row r="20" spans="2:5" x14ac:dyDescent="0.2">
      <c r="C20" s="37"/>
      <c r="D20" s="37"/>
      <c r="E20" s="37"/>
    </row>
    <row r="21" spans="2:5" x14ac:dyDescent="0.2">
      <c r="B21" s="2" t="s">
        <v>343</v>
      </c>
      <c r="C21" s="37"/>
      <c r="D21" s="37"/>
      <c r="E21" s="37"/>
    </row>
    <row r="22" spans="2:5" x14ac:dyDescent="0.2">
      <c r="B22" s="2" t="s">
        <v>344</v>
      </c>
      <c r="C22" s="62" t="s">
        <v>269</v>
      </c>
      <c r="D22" s="37">
        <v>0.01</v>
      </c>
      <c r="E22" s="37">
        <v>0.02</v>
      </c>
    </row>
    <row r="23" spans="2:5" x14ac:dyDescent="0.2">
      <c r="B23" s="2" t="s">
        <v>345</v>
      </c>
      <c r="C23" s="62" t="s">
        <v>269</v>
      </c>
      <c r="D23" s="37">
        <v>6.0000000000000001E-3</v>
      </c>
      <c r="E23" s="37">
        <v>6.0000000000000001E-3</v>
      </c>
    </row>
    <row r="24" spans="2:5" x14ac:dyDescent="0.2">
      <c r="C24" s="37"/>
      <c r="D24" s="37"/>
      <c r="E24" s="37"/>
    </row>
    <row r="25" spans="2:5" x14ac:dyDescent="0.2">
      <c r="B25" s="2" t="s">
        <v>346</v>
      </c>
      <c r="C25" s="62" t="s">
        <v>269</v>
      </c>
      <c r="D25" s="37">
        <v>200</v>
      </c>
      <c r="E25" s="37">
        <v>200</v>
      </c>
    </row>
    <row r="26" spans="2:5" x14ac:dyDescent="0.2">
      <c r="B26" s="2" t="s">
        <v>347</v>
      </c>
      <c r="C26" s="62" t="s">
        <v>269</v>
      </c>
      <c r="D26" s="37">
        <v>35</v>
      </c>
      <c r="E26" s="37"/>
    </row>
    <row r="27" spans="2:5" x14ac:dyDescent="0.2">
      <c r="B27" s="2" t="s">
        <v>348</v>
      </c>
      <c r="C27" s="62" t="s">
        <v>269</v>
      </c>
      <c r="D27" s="37">
        <v>20</v>
      </c>
      <c r="E27" s="37">
        <v>20</v>
      </c>
    </row>
    <row r="28" spans="2:5" x14ac:dyDescent="0.2">
      <c r="B28" s="2" t="s">
        <v>349</v>
      </c>
      <c r="C28" s="37"/>
      <c r="D28" s="62" t="s">
        <v>350</v>
      </c>
      <c r="E28" s="62" t="s">
        <v>351</v>
      </c>
    </row>
    <row r="29" spans="2:5" x14ac:dyDescent="0.2">
      <c r="B29" s="2"/>
      <c r="C29" s="37"/>
      <c r="D29" s="62"/>
      <c r="E29" s="62"/>
    </row>
    <row r="30" spans="2:5" x14ac:dyDescent="0.2">
      <c r="B30" s="2" t="s">
        <v>352</v>
      </c>
      <c r="C30" s="62"/>
      <c r="D30" s="37"/>
      <c r="E30" s="37"/>
    </row>
    <row r="31" spans="2:5" x14ac:dyDescent="0.2">
      <c r="B31" s="2" t="s">
        <v>344</v>
      </c>
      <c r="C31" s="62" t="s">
        <v>353</v>
      </c>
      <c r="D31" s="37">
        <v>18</v>
      </c>
      <c r="E31" s="37">
        <v>30</v>
      </c>
    </row>
    <row r="32" spans="2:5" x14ac:dyDescent="0.2">
      <c r="B32" s="2" t="s">
        <v>345</v>
      </c>
      <c r="C32" s="62" t="s">
        <v>353</v>
      </c>
      <c r="D32" s="37">
        <v>14</v>
      </c>
      <c r="E32" s="37">
        <v>28</v>
      </c>
    </row>
    <row r="33" spans="2:5" x14ac:dyDescent="0.2">
      <c r="C33" s="37"/>
      <c r="D33" s="37"/>
      <c r="E33" s="37"/>
    </row>
    <row r="34" spans="2:5" ht="12.75" customHeight="1" x14ac:dyDescent="0.2">
      <c r="B34" s="65" t="s">
        <v>354</v>
      </c>
      <c r="C34" s="62" t="s">
        <v>353</v>
      </c>
      <c r="D34" s="37">
        <v>3</v>
      </c>
      <c r="E34" s="37">
        <v>5</v>
      </c>
    </row>
    <row r="35" spans="2:5" x14ac:dyDescent="0.2">
      <c r="C35" s="37"/>
      <c r="D35" s="37"/>
      <c r="E35" s="37"/>
    </row>
    <row r="36" spans="2:5" x14ac:dyDescent="0.2">
      <c r="B36" s="2" t="s">
        <v>355</v>
      </c>
      <c r="C36" s="27" t="s">
        <v>356</v>
      </c>
      <c r="D36" s="37">
        <v>100</v>
      </c>
      <c r="E36" s="37">
        <v>280</v>
      </c>
    </row>
  </sheetData>
  <sheetProtection sheet="1" objects="1" scenarios="1" selectLockedCells="1"/>
  <customSheetViews>
    <customSheetView guid="{2A376E74-9008-4CC4-AF78-5E9088D4FA1D}" state="hidden">
      <pageMargins left="0.7" right="0.7" top="0.78740157499999996" bottom="0.78740157499999996" header="0.3" footer="0.3"/>
    </customSheetView>
  </customSheetView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4:B16"/>
  <sheetViews>
    <sheetView showGridLines="0" showRowColHeaders="0" workbookViewId="0"/>
  </sheetViews>
  <sheetFormatPr baseColWidth="10" defaultRowHeight="12.75" x14ac:dyDescent="0.2"/>
  <cols>
    <col min="2" max="2" width="80.5703125" customWidth="1"/>
  </cols>
  <sheetData>
    <row r="4" spans="1:2" x14ac:dyDescent="0.2">
      <c r="A4" t="s">
        <v>41</v>
      </c>
    </row>
    <row r="6" spans="1:2" ht="25.5" x14ac:dyDescent="0.2">
      <c r="A6" s="219">
        <v>1</v>
      </c>
      <c r="B6" s="17" t="s">
        <v>42</v>
      </c>
    </row>
    <row r="7" spans="1:2" x14ac:dyDescent="0.2">
      <c r="A7" s="219">
        <v>2</v>
      </c>
      <c r="B7" t="s">
        <v>48</v>
      </c>
    </row>
    <row r="8" spans="1:2" x14ac:dyDescent="0.2">
      <c r="A8" s="219">
        <v>3</v>
      </c>
      <c r="B8" t="s">
        <v>50</v>
      </c>
    </row>
    <row r="9" spans="1:2" x14ac:dyDescent="0.2">
      <c r="A9" s="219">
        <v>4</v>
      </c>
      <c r="B9" t="s">
        <v>62</v>
      </c>
    </row>
    <row r="10" spans="1:2" x14ac:dyDescent="0.2">
      <c r="A10" s="219">
        <v>5</v>
      </c>
      <c r="B10" t="s">
        <v>100</v>
      </c>
    </row>
    <row r="11" spans="1:2" x14ac:dyDescent="0.2">
      <c r="A11" s="219">
        <v>6</v>
      </c>
      <c r="B11" t="s">
        <v>110</v>
      </c>
    </row>
    <row r="12" spans="1:2" x14ac:dyDescent="0.2">
      <c r="A12" s="219">
        <v>7</v>
      </c>
      <c r="B12" t="s">
        <v>140</v>
      </c>
    </row>
    <row r="13" spans="1:2" x14ac:dyDescent="0.2">
      <c r="A13" s="219">
        <v>8</v>
      </c>
      <c r="B13" t="s">
        <v>206</v>
      </c>
    </row>
    <row r="14" spans="1:2" x14ac:dyDescent="0.2">
      <c r="A14" s="219">
        <v>9</v>
      </c>
      <c r="B14" t="s">
        <v>221</v>
      </c>
    </row>
    <row r="15" spans="1:2" x14ac:dyDescent="0.2">
      <c r="A15" s="219">
        <v>10</v>
      </c>
      <c r="B15" t="s">
        <v>234</v>
      </c>
    </row>
    <row r="16" spans="1:2" x14ac:dyDescent="0.2">
      <c r="A16" s="219">
        <v>11</v>
      </c>
      <c r="B16" t="s">
        <v>445</v>
      </c>
    </row>
  </sheetData>
  <sheetProtection password="D65F" sheet="1" objects="1" scenarios="1"/>
  <customSheetViews>
    <customSheetView guid="{2A376E74-9008-4CC4-AF78-5E9088D4FA1D}">
      <pageMargins left="0.7" right="0.7" top="0.78740157499999996" bottom="0.78740157499999996" header="0.3" footer="0.3"/>
    </customSheetView>
  </customSheetView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N202"/>
  <sheetViews>
    <sheetView workbookViewId="0"/>
  </sheetViews>
  <sheetFormatPr baseColWidth="10" defaultRowHeight="12.75" x14ac:dyDescent="0.2"/>
  <cols>
    <col min="1" max="1" width="29.5703125" customWidth="1"/>
    <col min="2" max="2" width="36" customWidth="1"/>
    <col min="3" max="3" width="10.7109375" customWidth="1"/>
    <col min="4" max="5" width="92.140625" style="859" customWidth="1"/>
    <col min="6" max="6" width="92.140625" style="865" customWidth="1"/>
  </cols>
  <sheetData>
    <row r="1" spans="1:6" ht="15.75" x14ac:dyDescent="0.25">
      <c r="A1" s="837" t="s">
        <v>1057</v>
      </c>
    </row>
    <row r="2" spans="1:6" ht="15.75" x14ac:dyDescent="0.25">
      <c r="A2" s="837" t="s">
        <v>1239</v>
      </c>
      <c r="B2" s="873" t="s">
        <v>1060</v>
      </c>
      <c r="C2" s="873"/>
    </row>
    <row r="3" spans="1:6" ht="15.75" x14ac:dyDescent="0.25">
      <c r="A3" s="837"/>
      <c r="B3" s="873" t="s">
        <v>1061</v>
      </c>
      <c r="C3" s="873"/>
    </row>
    <row r="4" spans="1:6" ht="15.75" x14ac:dyDescent="0.25">
      <c r="A4" s="837"/>
      <c r="B4" s="774"/>
      <c r="C4" s="774"/>
    </row>
    <row r="5" spans="1:6" x14ac:dyDescent="0.2">
      <c r="D5" s="859" t="s">
        <v>1058</v>
      </c>
    </row>
    <row r="6" spans="1:6" ht="13.5" thickBot="1" x14ac:dyDescent="0.25">
      <c r="C6" t="s">
        <v>1243</v>
      </c>
    </row>
    <row r="7" spans="1:6" ht="15.75" thickBot="1" x14ac:dyDescent="0.3">
      <c r="A7" s="838" t="s">
        <v>373</v>
      </c>
      <c r="B7" s="839" t="s">
        <v>1059</v>
      </c>
      <c r="C7" s="844"/>
      <c r="D7" s="860" t="s">
        <v>1060</v>
      </c>
      <c r="E7" s="866" t="s">
        <v>1061</v>
      </c>
      <c r="F7" s="867" t="s">
        <v>1062</v>
      </c>
    </row>
    <row r="8" spans="1:6" x14ac:dyDescent="0.2">
      <c r="A8" s="840" t="s">
        <v>1063</v>
      </c>
      <c r="B8" s="123" t="s">
        <v>1064</v>
      </c>
      <c r="C8" s="845">
        <v>1</v>
      </c>
      <c r="D8" s="861" t="s">
        <v>792</v>
      </c>
      <c r="E8" s="861" t="s">
        <v>1065</v>
      </c>
      <c r="F8" s="868"/>
    </row>
    <row r="9" spans="1:6" x14ac:dyDescent="0.2">
      <c r="A9" s="123"/>
      <c r="B9" s="123" t="s">
        <v>1066</v>
      </c>
      <c r="C9" s="846">
        <v>2</v>
      </c>
      <c r="D9" s="842" t="s">
        <v>1240</v>
      </c>
      <c r="E9" s="842" t="s">
        <v>1240</v>
      </c>
      <c r="F9" s="864"/>
    </row>
    <row r="10" spans="1:6" x14ac:dyDescent="0.2">
      <c r="A10" s="123"/>
      <c r="B10" s="123" t="s">
        <v>1067</v>
      </c>
      <c r="C10" s="846">
        <v>3</v>
      </c>
      <c r="D10" s="842" t="s">
        <v>492</v>
      </c>
      <c r="E10" s="842" t="s">
        <v>1068</v>
      </c>
      <c r="F10" s="864"/>
    </row>
    <row r="11" spans="1:6" x14ac:dyDescent="0.2">
      <c r="A11" s="123"/>
      <c r="B11" s="123" t="s">
        <v>1069</v>
      </c>
      <c r="C11" s="846">
        <v>4</v>
      </c>
      <c r="D11" s="842" t="s">
        <v>493</v>
      </c>
      <c r="E11" s="842" t="s">
        <v>1070</v>
      </c>
      <c r="F11" s="864"/>
    </row>
    <row r="12" spans="1:6" x14ac:dyDescent="0.2">
      <c r="A12" s="123"/>
      <c r="B12" s="123" t="s">
        <v>1071</v>
      </c>
      <c r="C12" s="845">
        <v>5</v>
      </c>
      <c r="D12" s="842" t="s">
        <v>494</v>
      </c>
      <c r="E12" s="842" t="s">
        <v>1072</v>
      </c>
      <c r="F12" s="864"/>
    </row>
    <row r="13" spans="1:6" x14ac:dyDescent="0.2">
      <c r="A13" s="123"/>
      <c r="B13" s="123" t="s">
        <v>1073</v>
      </c>
      <c r="C13" s="846">
        <v>6</v>
      </c>
      <c r="D13" s="842" t="s">
        <v>495</v>
      </c>
      <c r="E13" s="842" t="s">
        <v>1074</v>
      </c>
      <c r="F13" s="864"/>
    </row>
    <row r="14" spans="1:6" x14ac:dyDescent="0.2">
      <c r="A14" s="123"/>
      <c r="B14" s="123" t="s">
        <v>1075</v>
      </c>
      <c r="C14" s="846">
        <v>7</v>
      </c>
      <c r="D14" s="842" t="s">
        <v>476</v>
      </c>
      <c r="E14" s="842" t="s">
        <v>1076</v>
      </c>
      <c r="F14" s="864"/>
    </row>
    <row r="15" spans="1:6" x14ac:dyDescent="0.2">
      <c r="A15" s="123"/>
      <c r="B15" s="123" t="s">
        <v>1077</v>
      </c>
      <c r="C15" s="846">
        <v>8</v>
      </c>
      <c r="D15" s="842" t="s">
        <v>496</v>
      </c>
      <c r="E15" s="842" t="s">
        <v>1078</v>
      </c>
      <c r="F15" s="864"/>
    </row>
    <row r="16" spans="1:6" x14ac:dyDescent="0.2">
      <c r="A16" s="123"/>
      <c r="B16" s="123" t="s">
        <v>1079</v>
      </c>
      <c r="C16" s="845">
        <v>9</v>
      </c>
      <c r="D16" s="842" t="s">
        <v>529</v>
      </c>
      <c r="E16" s="842" t="s">
        <v>1080</v>
      </c>
      <c r="F16" s="864"/>
    </row>
    <row r="17" spans="1:6" x14ac:dyDescent="0.2">
      <c r="A17" s="123"/>
      <c r="B17" s="123" t="s">
        <v>1081</v>
      </c>
      <c r="C17" s="846">
        <v>10</v>
      </c>
      <c r="D17" s="842" t="s">
        <v>1025</v>
      </c>
      <c r="E17" s="842" t="s">
        <v>1082</v>
      </c>
      <c r="F17" s="864"/>
    </row>
    <row r="18" spans="1:6" x14ac:dyDescent="0.2">
      <c r="A18" s="123"/>
      <c r="B18" s="123" t="s">
        <v>1083</v>
      </c>
      <c r="C18" s="846">
        <v>11</v>
      </c>
      <c r="D18" s="842" t="s">
        <v>1083</v>
      </c>
      <c r="E18" s="842" t="s">
        <v>1287</v>
      </c>
      <c r="F18" s="864"/>
    </row>
    <row r="19" spans="1:6" x14ac:dyDescent="0.2">
      <c r="A19" s="123"/>
      <c r="B19" s="123"/>
      <c r="C19" s="846">
        <v>12</v>
      </c>
      <c r="D19" s="842" t="s">
        <v>702</v>
      </c>
      <c r="E19" s="842" t="s">
        <v>1346</v>
      </c>
      <c r="F19" s="864"/>
    </row>
    <row r="20" spans="1:6" x14ac:dyDescent="0.2">
      <c r="A20" s="123"/>
      <c r="B20" s="123"/>
      <c r="C20" s="845">
        <v>13</v>
      </c>
      <c r="D20" s="842" t="s">
        <v>1263</v>
      </c>
      <c r="E20" s="842" t="s">
        <v>1347</v>
      </c>
      <c r="F20" s="864"/>
    </row>
    <row r="21" spans="1:6" x14ac:dyDescent="0.2">
      <c r="A21" s="123"/>
      <c r="B21" s="123" t="s">
        <v>1264</v>
      </c>
      <c r="C21" s="846">
        <v>14</v>
      </c>
      <c r="D21" s="842"/>
      <c r="E21" s="842"/>
      <c r="F21" s="864"/>
    </row>
    <row r="22" spans="1:6" x14ac:dyDescent="0.2">
      <c r="A22" s="123"/>
      <c r="B22" s="123"/>
      <c r="C22" s="846">
        <v>15</v>
      </c>
      <c r="D22" s="842" t="s">
        <v>766</v>
      </c>
      <c r="E22" s="842" t="s">
        <v>1084</v>
      </c>
      <c r="F22" s="864"/>
    </row>
    <row r="23" spans="1:6" x14ac:dyDescent="0.2">
      <c r="A23" s="123"/>
      <c r="B23" s="123"/>
      <c r="C23" s="846">
        <v>16</v>
      </c>
      <c r="D23" s="842" t="s">
        <v>996</v>
      </c>
      <c r="E23" s="842" t="s">
        <v>1085</v>
      </c>
      <c r="F23" s="864"/>
    </row>
    <row r="24" spans="1:6" x14ac:dyDescent="0.2">
      <c r="A24" s="123"/>
      <c r="B24" s="123"/>
      <c r="C24" s="845">
        <v>17</v>
      </c>
      <c r="D24" s="842" t="s">
        <v>793</v>
      </c>
      <c r="E24" s="842" t="s">
        <v>1086</v>
      </c>
      <c r="F24" s="864"/>
    </row>
    <row r="25" spans="1:6" x14ac:dyDescent="0.2">
      <c r="A25" s="123"/>
      <c r="B25" s="123"/>
      <c r="C25" s="846">
        <v>18</v>
      </c>
      <c r="D25" s="842" t="s">
        <v>758</v>
      </c>
      <c r="E25" s="842" t="s">
        <v>1087</v>
      </c>
      <c r="F25" s="864"/>
    </row>
    <row r="26" spans="1:6" x14ac:dyDescent="0.2">
      <c r="A26" s="123"/>
      <c r="B26" s="123" t="s">
        <v>1242</v>
      </c>
      <c r="C26" s="846">
        <v>19</v>
      </c>
      <c r="D26" s="842" t="s">
        <v>1267</v>
      </c>
      <c r="E26" s="862" t="s">
        <v>1288</v>
      </c>
      <c r="F26" s="864"/>
    </row>
    <row r="27" spans="1:6" x14ac:dyDescent="0.2">
      <c r="A27" s="123"/>
      <c r="B27" s="123"/>
      <c r="C27" s="846">
        <v>20</v>
      </c>
      <c r="D27" s="842" t="s">
        <v>1029</v>
      </c>
      <c r="E27" s="862" t="s">
        <v>1289</v>
      </c>
      <c r="F27" s="864"/>
    </row>
    <row r="28" spans="1:6" x14ac:dyDescent="0.2">
      <c r="A28" s="123"/>
      <c r="B28" s="123"/>
      <c r="C28" s="845">
        <v>21</v>
      </c>
      <c r="D28" s="842" t="s">
        <v>1023</v>
      </c>
      <c r="E28" s="862" t="s">
        <v>1290</v>
      </c>
      <c r="F28" s="864"/>
    </row>
    <row r="29" spans="1:6" x14ac:dyDescent="0.2">
      <c r="A29" s="123"/>
      <c r="B29" s="123" t="s">
        <v>1241</v>
      </c>
      <c r="C29" s="846">
        <v>22</v>
      </c>
      <c r="D29" s="842" t="s">
        <v>1027</v>
      </c>
      <c r="E29" s="862" t="s">
        <v>1291</v>
      </c>
      <c r="F29" s="864"/>
    </row>
    <row r="30" spans="1:6" x14ac:dyDescent="0.2">
      <c r="A30" s="123"/>
      <c r="B30" s="123"/>
      <c r="C30" s="846">
        <v>23</v>
      </c>
      <c r="D30" s="842" t="s">
        <v>722</v>
      </c>
      <c r="E30" s="842" t="s">
        <v>1088</v>
      </c>
      <c r="F30" s="864"/>
    </row>
    <row r="31" spans="1:6" x14ac:dyDescent="0.2">
      <c r="A31" s="123" t="s">
        <v>1089</v>
      </c>
      <c r="B31" s="123" t="s">
        <v>1090</v>
      </c>
      <c r="C31" s="846">
        <v>24</v>
      </c>
      <c r="D31" s="842" t="s">
        <v>478</v>
      </c>
      <c r="E31" s="842" t="s">
        <v>1244</v>
      </c>
      <c r="F31" s="864"/>
    </row>
    <row r="32" spans="1:6" x14ac:dyDescent="0.2">
      <c r="A32" s="123"/>
      <c r="B32" s="123"/>
      <c r="C32" s="845">
        <v>25</v>
      </c>
      <c r="D32" s="842" t="s">
        <v>794</v>
      </c>
      <c r="E32" s="842" t="s">
        <v>1091</v>
      </c>
      <c r="F32" s="864"/>
    </row>
    <row r="33" spans="1:6" x14ac:dyDescent="0.2">
      <c r="A33" s="123" t="s">
        <v>1092</v>
      </c>
      <c r="B33" s="123" t="s">
        <v>1093</v>
      </c>
      <c r="C33" s="846">
        <v>26</v>
      </c>
      <c r="D33" s="842" t="s">
        <v>500</v>
      </c>
      <c r="E33" s="842" t="s">
        <v>1094</v>
      </c>
      <c r="F33" s="864"/>
    </row>
    <row r="34" spans="1:6" x14ac:dyDescent="0.2">
      <c r="A34" s="123"/>
      <c r="B34" s="123"/>
      <c r="C34" s="846">
        <v>27</v>
      </c>
      <c r="D34" s="842" t="s">
        <v>501</v>
      </c>
      <c r="E34" s="842" t="s">
        <v>1237</v>
      </c>
      <c r="F34" s="864"/>
    </row>
    <row r="35" spans="1:6" x14ac:dyDescent="0.2">
      <c r="A35" s="123"/>
      <c r="B35" s="123"/>
      <c r="C35" s="846">
        <v>28</v>
      </c>
      <c r="D35" s="842" t="s">
        <v>502</v>
      </c>
      <c r="E35" s="842" t="s">
        <v>1095</v>
      </c>
      <c r="F35" s="864"/>
    </row>
    <row r="36" spans="1:6" x14ac:dyDescent="0.2">
      <c r="A36" s="123"/>
      <c r="B36" s="123" t="s">
        <v>510</v>
      </c>
      <c r="C36" s="845">
        <v>29</v>
      </c>
      <c r="D36" s="842" t="s">
        <v>506</v>
      </c>
      <c r="E36" s="842" t="s">
        <v>1292</v>
      </c>
      <c r="F36" s="864"/>
    </row>
    <row r="37" spans="1:6" x14ac:dyDescent="0.2">
      <c r="A37" s="123"/>
      <c r="B37" s="123"/>
      <c r="C37" s="846">
        <v>30</v>
      </c>
      <c r="D37" s="842" t="s">
        <v>507</v>
      </c>
      <c r="E37" s="842" t="s">
        <v>1293</v>
      </c>
      <c r="F37" s="864"/>
    </row>
    <row r="38" spans="1:6" ht="38.25" x14ac:dyDescent="0.2">
      <c r="A38" s="123"/>
      <c r="B38" s="123"/>
      <c r="C38" s="846">
        <v>31</v>
      </c>
      <c r="D38" s="842" t="s">
        <v>1005</v>
      </c>
      <c r="E38" s="842" t="s">
        <v>1294</v>
      </c>
      <c r="F38" s="864"/>
    </row>
    <row r="39" spans="1:6" ht="38.25" x14ac:dyDescent="0.2">
      <c r="A39" s="123"/>
      <c r="B39" s="123" t="s">
        <v>512</v>
      </c>
      <c r="C39" s="846">
        <v>32</v>
      </c>
      <c r="D39" s="842" t="s">
        <v>513</v>
      </c>
      <c r="E39" s="842" t="s">
        <v>1295</v>
      </c>
      <c r="F39" s="864"/>
    </row>
    <row r="40" spans="1:6" ht="38.25" x14ac:dyDescent="0.2">
      <c r="A40" s="123"/>
      <c r="B40" s="123"/>
      <c r="C40" s="845">
        <v>33</v>
      </c>
      <c r="D40" s="842" t="s">
        <v>513</v>
      </c>
      <c r="E40" s="842" t="s">
        <v>1096</v>
      </c>
      <c r="F40" s="864"/>
    </row>
    <row r="41" spans="1:6" x14ac:dyDescent="0.2">
      <c r="A41" s="123"/>
      <c r="B41" s="123"/>
      <c r="C41" s="845">
        <v>34</v>
      </c>
      <c r="D41" s="862" t="s">
        <v>498</v>
      </c>
      <c r="E41" s="862" t="s">
        <v>498</v>
      </c>
      <c r="F41" s="864"/>
    </row>
    <row r="42" spans="1:6" x14ac:dyDescent="0.2">
      <c r="A42" s="123" t="s">
        <v>1097</v>
      </c>
      <c r="B42" s="123"/>
      <c r="C42" s="846">
        <v>35</v>
      </c>
      <c r="D42" s="842" t="s">
        <v>795</v>
      </c>
      <c r="E42" s="842" t="s">
        <v>1278</v>
      </c>
      <c r="F42" s="864"/>
    </row>
    <row r="43" spans="1:6" x14ac:dyDescent="0.2">
      <c r="A43" s="123" t="s">
        <v>1092</v>
      </c>
      <c r="B43" s="123" t="s">
        <v>488</v>
      </c>
      <c r="C43" s="845">
        <v>36</v>
      </c>
      <c r="D43" s="842" t="s">
        <v>489</v>
      </c>
      <c r="E43" s="842" t="s">
        <v>1098</v>
      </c>
      <c r="F43" s="864"/>
    </row>
    <row r="44" spans="1:6" x14ac:dyDescent="0.2">
      <c r="A44" s="123"/>
      <c r="B44" s="123"/>
      <c r="C44" s="845">
        <v>37</v>
      </c>
      <c r="D44" s="842" t="s">
        <v>490</v>
      </c>
      <c r="E44" s="842" t="s">
        <v>1099</v>
      </c>
      <c r="F44" s="864"/>
    </row>
    <row r="45" spans="1:6" ht="25.5" x14ac:dyDescent="0.2">
      <c r="A45" s="123"/>
      <c r="B45" s="123" t="s">
        <v>511</v>
      </c>
      <c r="C45" s="846">
        <v>38</v>
      </c>
      <c r="D45" s="842" t="s">
        <v>499</v>
      </c>
      <c r="E45" s="842" t="s">
        <v>1296</v>
      </c>
      <c r="F45" s="864"/>
    </row>
    <row r="46" spans="1:6" x14ac:dyDescent="0.2">
      <c r="A46" s="123"/>
      <c r="B46" s="123"/>
      <c r="C46" s="845">
        <v>39</v>
      </c>
      <c r="D46" s="862" t="s">
        <v>498</v>
      </c>
      <c r="E46" s="862" t="s">
        <v>498</v>
      </c>
      <c r="F46" s="864"/>
    </row>
    <row r="47" spans="1:6" x14ac:dyDescent="0.2">
      <c r="A47" s="123" t="s">
        <v>1100</v>
      </c>
      <c r="B47" s="123" t="s">
        <v>1101</v>
      </c>
      <c r="C47" s="845">
        <v>40</v>
      </c>
      <c r="D47" s="842" t="s">
        <v>477</v>
      </c>
      <c r="E47" s="842" t="s">
        <v>1102</v>
      </c>
      <c r="F47" s="864"/>
    </row>
    <row r="48" spans="1:6" x14ac:dyDescent="0.2">
      <c r="A48" s="123"/>
      <c r="B48" s="123"/>
      <c r="C48" s="846">
        <v>41</v>
      </c>
      <c r="D48" s="842" t="s">
        <v>480</v>
      </c>
      <c r="E48" s="842" t="s">
        <v>1103</v>
      </c>
      <c r="F48" s="864"/>
    </row>
    <row r="49" spans="1:6" x14ac:dyDescent="0.2">
      <c r="A49" s="123"/>
      <c r="B49" s="123"/>
      <c r="C49" s="845">
        <v>42</v>
      </c>
      <c r="D49" s="842" t="s">
        <v>479</v>
      </c>
      <c r="E49" s="842" t="s">
        <v>1104</v>
      </c>
      <c r="F49" s="864"/>
    </row>
    <row r="50" spans="1:6" x14ac:dyDescent="0.2">
      <c r="A50" s="123"/>
      <c r="B50" s="123"/>
      <c r="C50" s="845">
        <v>43</v>
      </c>
      <c r="D50" s="842" t="s">
        <v>484</v>
      </c>
      <c r="E50" s="842" t="s">
        <v>1105</v>
      </c>
      <c r="F50" s="864"/>
    </row>
    <row r="51" spans="1:6" x14ac:dyDescent="0.2">
      <c r="A51" s="123"/>
      <c r="B51" s="123"/>
      <c r="C51" s="846">
        <v>44</v>
      </c>
      <c r="D51" s="842" t="s">
        <v>481</v>
      </c>
      <c r="E51" s="842" t="s">
        <v>1106</v>
      </c>
      <c r="F51" s="864"/>
    </row>
    <row r="52" spans="1:6" x14ac:dyDescent="0.2">
      <c r="A52" s="123"/>
      <c r="B52" s="123" t="s">
        <v>328</v>
      </c>
      <c r="C52" s="845">
        <v>45</v>
      </c>
      <c r="D52" s="842" t="s">
        <v>486</v>
      </c>
      <c r="E52" s="842" t="s">
        <v>1297</v>
      </c>
      <c r="F52" s="864"/>
    </row>
    <row r="53" spans="1:6" x14ac:dyDescent="0.2">
      <c r="A53" s="123"/>
      <c r="B53" s="123" t="s">
        <v>1107</v>
      </c>
      <c r="C53" s="845">
        <v>46</v>
      </c>
      <c r="D53" s="842" t="s">
        <v>999</v>
      </c>
      <c r="E53" s="842" t="s">
        <v>1298</v>
      </c>
      <c r="F53" s="864"/>
    </row>
    <row r="54" spans="1:6" x14ac:dyDescent="0.2">
      <c r="A54" s="123"/>
      <c r="B54" s="123" t="s">
        <v>1108</v>
      </c>
      <c r="C54" s="846">
        <v>47</v>
      </c>
      <c r="D54" s="842" t="s">
        <v>992</v>
      </c>
      <c r="E54" s="842" t="s">
        <v>1109</v>
      </c>
      <c r="F54" s="864"/>
    </row>
    <row r="55" spans="1:6" x14ac:dyDescent="0.2">
      <c r="A55" s="123"/>
      <c r="B55" s="123"/>
      <c r="C55" s="845">
        <v>48</v>
      </c>
      <c r="D55" s="842" t="s">
        <v>491</v>
      </c>
      <c r="E55" s="842" t="s">
        <v>1110</v>
      </c>
      <c r="F55" s="864"/>
    </row>
    <row r="56" spans="1:6" x14ac:dyDescent="0.2">
      <c r="A56" s="123"/>
      <c r="B56" s="123"/>
      <c r="C56" s="845">
        <v>49</v>
      </c>
      <c r="D56" s="842" t="s">
        <v>799</v>
      </c>
      <c r="E56" s="842" t="s">
        <v>1299</v>
      </c>
      <c r="F56" s="864"/>
    </row>
    <row r="57" spans="1:6" x14ac:dyDescent="0.2">
      <c r="A57" s="123"/>
      <c r="B57" s="123" t="s">
        <v>1111</v>
      </c>
      <c r="C57" s="846">
        <v>50</v>
      </c>
      <c r="D57" s="842" t="s">
        <v>396</v>
      </c>
      <c r="E57" s="842" t="s">
        <v>1112</v>
      </c>
      <c r="F57" s="864"/>
    </row>
    <row r="58" spans="1:6" x14ac:dyDescent="0.2">
      <c r="A58" s="123"/>
      <c r="B58" s="123"/>
      <c r="C58" s="845">
        <v>51</v>
      </c>
      <c r="D58" s="842" t="s">
        <v>1245</v>
      </c>
      <c r="E58" s="842" t="s">
        <v>1300</v>
      </c>
      <c r="F58" s="864"/>
    </row>
    <row r="59" spans="1:6" x14ac:dyDescent="0.2">
      <c r="A59" s="123"/>
      <c r="B59" s="123" t="s">
        <v>1113</v>
      </c>
      <c r="C59" s="846">
        <v>52</v>
      </c>
      <c r="D59" s="842" t="s">
        <v>1114</v>
      </c>
      <c r="E59" s="842" t="s">
        <v>1115</v>
      </c>
      <c r="F59" s="864"/>
    </row>
    <row r="60" spans="1:6" x14ac:dyDescent="0.2">
      <c r="A60" s="123"/>
      <c r="B60" s="123" t="s">
        <v>1116</v>
      </c>
      <c r="C60" s="845">
        <v>53</v>
      </c>
      <c r="D60" s="842" t="s">
        <v>1284</v>
      </c>
      <c r="E60" s="842" t="s">
        <v>1285</v>
      </c>
      <c r="F60" s="864"/>
    </row>
    <row r="61" spans="1:6" ht="38.25" x14ac:dyDescent="0.2">
      <c r="A61" s="123"/>
      <c r="B61" s="123" t="s">
        <v>1117</v>
      </c>
      <c r="C61" s="846">
        <v>54</v>
      </c>
      <c r="D61" s="842" t="s">
        <v>1118</v>
      </c>
      <c r="E61" s="842" t="s">
        <v>1301</v>
      </c>
      <c r="F61" s="864"/>
    </row>
    <row r="62" spans="1:6" x14ac:dyDescent="0.2">
      <c r="A62" s="123"/>
      <c r="B62" s="123" t="s">
        <v>1119</v>
      </c>
      <c r="C62" s="845">
        <v>55</v>
      </c>
      <c r="D62" s="842" t="s">
        <v>993</v>
      </c>
      <c r="E62" s="842" t="s">
        <v>1279</v>
      </c>
      <c r="F62" s="864"/>
    </row>
    <row r="63" spans="1:6" x14ac:dyDescent="0.2">
      <c r="A63" s="123"/>
      <c r="B63" s="123"/>
      <c r="C63" s="846">
        <v>56</v>
      </c>
      <c r="D63" s="842" t="s">
        <v>1000</v>
      </c>
      <c r="E63" s="842" t="s">
        <v>1120</v>
      </c>
      <c r="F63" s="864"/>
    </row>
    <row r="64" spans="1:6" x14ac:dyDescent="0.2">
      <c r="A64" s="123"/>
      <c r="B64" s="123"/>
      <c r="C64" s="845">
        <v>57</v>
      </c>
      <c r="D64" s="842" t="s">
        <v>517</v>
      </c>
      <c r="E64" s="842" t="s">
        <v>1121</v>
      </c>
      <c r="F64" s="864"/>
    </row>
    <row r="65" spans="1:6" x14ac:dyDescent="0.2">
      <c r="A65" s="123"/>
      <c r="B65" s="123"/>
      <c r="C65" s="846">
        <v>58</v>
      </c>
      <c r="D65" s="842" t="s">
        <v>483</v>
      </c>
      <c r="E65" s="842" t="s">
        <v>1122</v>
      </c>
      <c r="F65" s="864"/>
    </row>
    <row r="66" spans="1:6" x14ac:dyDescent="0.2">
      <c r="A66" s="123"/>
      <c r="B66" s="123"/>
      <c r="C66" s="845">
        <v>59</v>
      </c>
      <c r="D66" s="842" t="s">
        <v>487</v>
      </c>
      <c r="E66" s="842" t="s">
        <v>1123</v>
      </c>
      <c r="F66" s="864"/>
    </row>
    <row r="67" spans="1:6" x14ac:dyDescent="0.2">
      <c r="A67" s="123"/>
      <c r="B67" s="123" t="s">
        <v>328</v>
      </c>
      <c r="C67" s="846">
        <v>60</v>
      </c>
      <c r="D67" s="842" t="s">
        <v>425</v>
      </c>
      <c r="E67" s="842" t="s">
        <v>1124</v>
      </c>
      <c r="F67" s="864"/>
    </row>
    <row r="68" spans="1:6" x14ac:dyDescent="0.2">
      <c r="A68" s="123"/>
      <c r="B68" s="123" t="s">
        <v>1107</v>
      </c>
      <c r="C68" s="845">
        <v>61</v>
      </c>
      <c r="D68" s="842" t="s">
        <v>1246</v>
      </c>
      <c r="E68" s="842" t="s">
        <v>1302</v>
      </c>
      <c r="F68" s="864"/>
    </row>
    <row r="69" spans="1:6" x14ac:dyDescent="0.2">
      <c r="A69" s="123"/>
      <c r="B69" s="123"/>
      <c r="C69" s="846">
        <v>62</v>
      </c>
      <c r="D69" s="842" t="s">
        <v>487</v>
      </c>
      <c r="E69" s="842" t="s">
        <v>1123</v>
      </c>
      <c r="F69" s="864"/>
    </row>
    <row r="70" spans="1:6" x14ac:dyDescent="0.2">
      <c r="A70" s="123"/>
      <c r="B70" s="123" t="s">
        <v>328</v>
      </c>
      <c r="C70" s="845">
        <v>63</v>
      </c>
      <c r="D70" s="842" t="s">
        <v>509</v>
      </c>
      <c r="E70" s="842" t="s">
        <v>1125</v>
      </c>
      <c r="F70" s="864"/>
    </row>
    <row r="71" spans="1:6" x14ac:dyDescent="0.2">
      <c r="A71" s="123"/>
      <c r="B71" s="123" t="s">
        <v>1107</v>
      </c>
      <c r="C71" s="846">
        <v>64</v>
      </c>
      <c r="D71" s="842" t="s">
        <v>722</v>
      </c>
      <c r="E71" s="842" t="s">
        <v>1088</v>
      </c>
      <c r="F71" s="864"/>
    </row>
    <row r="72" spans="1:6" x14ac:dyDescent="0.2">
      <c r="A72" s="123"/>
      <c r="B72" s="123"/>
      <c r="C72" s="845">
        <v>65</v>
      </c>
      <c r="D72" s="842" t="s">
        <v>995</v>
      </c>
      <c r="E72" s="842" t="s">
        <v>1126</v>
      </c>
      <c r="F72" s="864"/>
    </row>
    <row r="73" spans="1:6" x14ac:dyDescent="0.2">
      <c r="A73" s="123"/>
      <c r="B73" s="123" t="s">
        <v>143</v>
      </c>
      <c r="C73" s="846">
        <v>66</v>
      </c>
      <c r="D73" s="842" t="s">
        <v>1127</v>
      </c>
      <c r="E73" s="842" t="s">
        <v>1128</v>
      </c>
      <c r="F73" s="864"/>
    </row>
    <row r="74" spans="1:6" x14ac:dyDescent="0.2">
      <c r="A74" s="123"/>
      <c r="B74" s="123"/>
      <c r="C74" s="845">
        <v>67</v>
      </c>
      <c r="D74" s="842" t="s">
        <v>1129</v>
      </c>
      <c r="E74" s="842" t="s">
        <v>1130</v>
      </c>
      <c r="F74" s="864"/>
    </row>
    <row r="75" spans="1:6" x14ac:dyDescent="0.2">
      <c r="A75" s="123"/>
      <c r="B75" s="123"/>
      <c r="C75" s="846">
        <v>68</v>
      </c>
      <c r="D75" s="842" t="s">
        <v>1131</v>
      </c>
      <c r="E75" s="842" t="s">
        <v>1124</v>
      </c>
      <c r="F75" s="864"/>
    </row>
    <row r="76" spans="1:6" x14ac:dyDescent="0.2">
      <c r="A76" s="123"/>
      <c r="B76" s="123" t="s">
        <v>1132</v>
      </c>
      <c r="C76" s="845">
        <v>69</v>
      </c>
      <c r="D76" s="842" t="s">
        <v>800</v>
      </c>
      <c r="E76" s="842" t="s">
        <v>1133</v>
      </c>
      <c r="F76" s="864"/>
    </row>
    <row r="77" spans="1:6" x14ac:dyDescent="0.2">
      <c r="A77" s="123"/>
      <c r="B77" s="123"/>
      <c r="C77" s="846">
        <v>70</v>
      </c>
      <c r="D77" s="842" t="s">
        <v>524</v>
      </c>
      <c r="E77" s="842" t="s">
        <v>1134</v>
      </c>
      <c r="F77" s="864"/>
    </row>
    <row r="78" spans="1:6" x14ac:dyDescent="0.2">
      <c r="A78" s="123"/>
      <c r="B78" s="123"/>
      <c r="C78" s="845">
        <v>71</v>
      </c>
      <c r="D78" s="842" t="s">
        <v>920</v>
      </c>
      <c r="E78" s="842" t="s">
        <v>1135</v>
      </c>
      <c r="F78" s="864"/>
    </row>
    <row r="79" spans="1:6" x14ac:dyDescent="0.2">
      <c r="A79" s="123"/>
      <c r="B79" s="123"/>
      <c r="C79" s="846">
        <v>72</v>
      </c>
      <c r="D79" s="842" t="s">
        <v>525</v>
      </c>
      <c r="E79" s="842" t="s">
        <v>1136</v>
      </c>
      <c r="F79" s="864"/>
    </row>
    <row r="80" spans="1:6" x14ac:dyDescent="0.2">
      <c r="A80" s="123" t="s">
        <v>1137</v>
      </c>
      <c r="B80" s="123" t="s">
        <v>1138</v>
      </c>
      <c r="C80" s="845">
        <v>73</v>
      </c>
      <c r="D80" s="842" t="s">
        <v>531</v>
      </c>
      <c r="E80" s="842" t="s">
        <v>1139</v>
      </c>
      <c r="F80" s="864"/>
    </row>
    <row r="81" spans="1:6" x14ac:dyDescent="0.2">
      <c r="A81" s="123"/>
      <c r="B81" s="123"/>
      <c r="C81" s="846">
        <v>74</v>
      </c>
      <c r="D81" s="842" t="s">
        <v>532</v>
      </c>
      <c r="E81" s="842" t="s">
        <v>1140</v>
      </c>
      <c r="F81" s="864"/>
    </row>
    <row r="82" spans="1:6" x14ac:dyDescent="0.2">
      <c r="A82" s="123" t="s">
        <v>1141</v>
      </c>
      <c r="B82" s="123" t="s">
        <v>1142</v>
      </c>
      <c r="C82" s="845">
        <v>75</v>
      </c>
      <c r="D82" s="842" t="s">
        <v>722</v>
      </c>
      <c r="E82" s="842" t="s">
        <v>1088</v>
      </c>
      <c r="F82" s="864"/>
    </row>
    <row r="83" spans="1:6" x14ac:dyDescent="0.2">
      <c r="A83" s="123"/>
      <c r="B83" s="123" t="s">
        <v>1143</v>
      </c>
      <c r="C83" s="846">
        <v>76</v>
      </c>
      <c r="D83" s="842" t="s">
        <v>998</v>
      </c>
      <c r="E83" s="842" t="s">
        <v>1280</v>
      </c>
      <c r="F83" s="864"/>
    </row>
    <row r="84" spans="1:6" x14ac:dyDescent="0.2">
      <c r="A84" s="123"/>
      <c r="B84" s="123" t="s">
        <v>1144</v>
      </c>
      <c r="C84" s="845">
        <v>77</v>
      </c>
      <c r="D84" s="842" t="s">
        <v>724</v>
      </c>
      <c r="E84" s="842" t="s">
        <v>1145</v>
      </c>
      <c r="F84" s="864"/>
    </row>
    <row r="85" spans="1:6" x14ac:dyDescent="0.2">
      <c r="A85" s="123"/>
      <c r="B85" s="123" t="s">
        <v>1146</v>
      </c>
      <c r="C85" s="846">
        <v>78</v>
      </c>
      <c r="D85" s="842" t="s">
        <v>997</v>
      </c>
      <c r="E85" s="842" t="s">
        <v>1147</v>
      </c>
      <c r="F85" s="864"/>
    </row>
    <row r="86" spans="1:6" x14ac:dyDescent="0.2">
      <c r="A86" s="123" t="s">
        <v>1148</v>
      </c>
      <c r="B86" s="123" t="s">
        <v>1149</v>
      </c>
      <c r="C86" s="845">
        <v>79</v>
      </c>
      <c r="D86" s="842" t="s">
        <v>538</v>
      </c>
      <c r="E86" s="842" t="s">
        <v>1150</v>
      </c>
      <c r="F86" s="864"/>
    </row>
    <row r="87" spans="1:6" x14ac:dyDescent="0.2">
      <c r="A87" s="123"/>
      <c r="B87" s="123"/>
      <c r="C87" s="846">
        <v>80</v>
      </c>
      <c r="D87" s="842" t="s">
        <v>539</v>
      </c>
      <c r="E87" s="842" t="s">
        <v>1151</v>
      </c>
      <c r="F87" s="864"/>
    </row>
    <row r="88" spans="1:6" x14ac:dyDescent="0.2">
      <c r="A88" s="123" t="s">
        <v>1152</v>
      </c>
      <c r="B88" s="123" t="s">
        <v>1153</v>
      </c>
      <c r="C88" s="845">
        <v>81</v>
      </c>
      <c r="D88" s="842" t="s">
        <v>526</v>
      </c>
      <c r="E88" s="842" t="s">
        <v>1281</v>
      </c>
      <c r="F88" s="864"/>
    </row>
    <row r="89" spans="1:6" x14ac:dyDescent="0.2">
      <c r="A89" s="123"/>
      <c r="B89" s="123"/>
      <c r="C89" s="846">
        <v>82</v>
      </c>
      <c r="D89" s="842" t="s">
        <v>527</v>
      </c>
      <c r="E89" s="842" t="s">
        <v>1303</v>
      </c>
      <c r="F89" s="864"/>
    </row>
    <row r="90" spans="1:6" x14ac:dyDescent="0.2">
      <c r="A90" s="123"/>
      <c r="B90" s="123"/>
      <c r="C90" s="845">
        <v>83</v>
      </c>
      <c r="D90" s="842" t="s">
        <v>541</v>
      </c>
      <c r="E90" s="842" t="s">
        <v>1282</v>
      </c>
      <c r="F90" s="864"/>
    </row>
    <row r="91" spans="1:6" x14ac:dyDescent="0.2">
      <c r="A91" s="123"/>
      <c r="B91" s="123"/>
      <c r="C91" s="846">
        <v>84</v>
      </c>
      <c r="D91" s="842" t="s">
        <v>528</v>
      </c>
      <c r="E91" s="842" t="s">
        <v>1304</v>
      </c>
      <c r="F91" s="864"/>
    </row>
    <row r="92" spans="1:6" x14ac:dyDescent="0.2">
      <c r="A92" s="123"/>
      <c r="B92" s="123"/>
      <c r="C92" s="845">
        <v>85</v>
      </c>
      <c r="D92" s="842" t="s">
        <v>721</v>
      </c>
      <c r="E92" s="842" t="s">
        <v>1305</v>
      </c>
      <c r="F92" s="864"/>
    </row>
    <row r="93" spans="1:6" x14ac:dyDescent="0.2">
      <c r="A93" s="123"/>
      <c r="B93" s="123"/>
      <c r="C93" s="846">
        <v>86</v>
      </c>
      <c r="D93" s="842" t="s">
        <v>723</v>
      </c>
      <c r="E93" s="842" t="s">
        <v>1154</v>
      </c>
      <c r="F93" s="864"/>
    </row>
    <row r="94" spans="1:6" x14ac:dyDescent="0.2">
      <c r="A94" s="123"/>
      <c r="B94" s="123" t="s">
        <v>1142</v>
      </c>
      <c r="C94" s="845">
        <v>87</v>
      </c>
      <c r="D94" s="842" t="s">
        <v>1155</v>
      </c>
      <c r="E94" s="842" t="s">
        <v>1156</v>
      </c>
      <c r="F94" s="864"/>
    </row>
    <row r="95" spans="1:6" x14ac:dyDescent="0.2">
      <c r="A95" s="123"/>
      <c r="B95" s="123" t="s">
        <v>1247</v>
      </c>
      <c r="C95" s="846">
        <v>88</v>
      </c>
      <c r="D95" s="842" t="s">
        <v>271</v>
      </c>
      <c r="E95" s="842" t="s">
        <v>1248</v>
      </c>
      <c r="F95" s="864"/>
    </row>
    <row r="96" spans="1:6" x14ac:dyDescent="0.2">
      <c r="A96" s="123"/>
      <c r="B96" s="123"/>
      <c r="C96" s="845">
        <v>89</v>
      </c>
      <c r="D96" s="842" t="s">
        <v>272</v>
      </c>
      <c r="E96" s="842" t="s">
        <v>1249</v>
      </c>
      <c r="F96" s="864"/>
    </row>
    <row r="97" spans="1:6" x14ac:dyDescent="0.2">
      <c r="A97" s="123"/>
      <c r="B97" s="123"/>
      <c r="C97" s="846">
        <v>90</v>
      </c>
      <c r="D97" s="842" t="s">
        <v>273</v>
      </c>
      <c r="E97" s="842" t="s">
        <v>1250</v>
      </c>
      <c r="F97" s="864"/>
    </row>
    <row r="98" spans="1:6" x14ac:dyDescent="0.2">
      <c r="A98" s="123"/>
      <c r="B98" s="123"/>
      <c r="C98" s="845">
        <v>91</v>
      </c>
      <c r="D98" s="842" t="s">
        <v>274</v>
      </c>
      <c r="E98" s="842" t="s">
        <v>1251</v>
      </c>
      <c r="F98" s="864"/>
    </row>
    <row r="99" spans="1:6" x14ac:dyDescent="0.2">
      <c r="A99" s="123"/>
      <c r="B99" s="123"/>
      <c r="C99" s="846">
        <v>92</v>
      </c>
      <c r="D99" s="842" t="s">
        <v>275</v>
      </c>
      <c r="E99" s="842" t="s">
        <v>1252</v>
      </c>
      <c r="F99" s="864"/>
    </row>
    <row r="100" spans="1:6" x14ac:dyDescent="0.2">
      <c r="A100" s="123"/>
      <c r="B100" s="123"/>
      <c r="C100" s="845">
        <v>93</v>
      </c>
      <c r="D100" s="842" t="s">
        <v>276</v>
      </c>
      <c r="E100" s="842" t="s">
        <v>1272</v>
      </c>
      <c r="F100" s="864"/>
    </row>
    <row r="101" spans="1:6" x14ac:dyDescent="0.2">
      <c r="A101" s="123"/>
      <c r="B101" s="123" t="s">
        <v>1157</v>
      </c>
      <c r="C101" s="846">
        <v>94</v>
      </c>
      <c r="D101" s="842" t="s">
        <v>979</v>
      </c>
      <c r="E101" s="842" t="s">
        <v>1276</v>
      </c>
      <c r="F101" s="864"/>
    </row>
    <row r="102" spans="1:6" x14ac:dyDescent="0.2">
      <c r="A102" s="123"/>
      <c r="B102" s="123" t="s">
        <v>1158</v>
      </c>
      <c r="C102" s="845">
        <v>95</v>
      </c>
      <c r="D102" s="842" t="s">
        <v>980</v>
      </c>
      <c r="E102" s="842" t="s">
        <v>1283</v>
      </c>
      <c r="F102" s="864"/>
    </row>
    <row r="103" spans="1:6" x14ac:dyDescent="0.2">
      <c r="A103" s="123" t="s">
        <v>1159</v>
      </c>
      <c r="B103" s="123" t="s">
        <v>1160</v>
      </c>
      <c r="C103" s="846">
        <v>96</v>
      </c>
      <c r="D103" s="842" t="s">
        <v>981</v>
      </c>
      <c r="E103" s="842" t="s">
        <v>1306</v>
      </c>
      <c r="F103" s="864"/>
    </row>
    <row r="104" spans="1:6" x14ac:dyDescent="0.2">
      <c r="A104" s="123"/>
      <c r="B104" s="123" t="s">
        <v>1161</v>
      </c>
      <c r="C104" s="845">
        <v>97</v>
      </c>
      <c r="D104" s="842" t="s">
        <v>982</v>
      </c>
      <c r="E104" s="842" t="s">
        <v>1162</v>
      </c>
      <c r="F104" s="864"/>
    </row>
    <row r="105" spans="1:6" x14ac:dyDescent="0.2">
      <c r="A105" s="123"/>
      <c r="B105" s="123"/>
      <c r="C105" s="846">
        <v>98</v>
      </c>
      <c r="D105" s="842" t="s">
        <v>521</v>
      </c>
      <c r="E105" s="842" t="s">
        <v>1163</v>
      </c>
      <c r="F105" s="864"/>
    </row>
    <row r="106" spans="1:6" ht="38.25" x14ac:dyDescent="0.2">
      <c r="A106" s="123"/>
      <c r="B106" s="123"/>
      <c r="C106" s="845">
        <v>99</v>
      </c>
      <c r="D106" s="842" t="s">
        <v>983</v>
      </c>
      <c r="E106" s="842" t="s">
        <v>1307</v>
      </c>
      <c r="F106" s="864"/>
    </row>
    <row r="107" spans="1:6" x14ac:dyDescent="0.2">
      <c r="A107" s="123"/>
      <c r="B107" s="123"/>
      <c r="C107" s="846">
        <v>100</v>
      </c>
      <c r="D107" s="842" t="s">
        <v>522</v>
      </c>
      <c r="E107" s="842" t="s">
        <v>1164</v>
      </c>
      <c r="F107" s="864"/>
    </row>
    <row r="108" spans="1:6" ht="38.25" x14ac:dyDescent="0.2">
      <c r="A108" s="123"/>
      <c r="B108" s="123"/>
      <c r="C108" s="845">
        <v>101</v>
      </c>
      <c r="D108" s="842" t="s">
        <v>783</v>
      </c>
      <c r="E108" s="842" t="s">
        <v>1308</v>
      </c>
      <c r="F108" s="864"/>
    </row>
    <row r="109" spans="1:6" x14ac:dyDescent="0.2">
      <c r="A109" s="123"/>
      <c r="B109" s="123"/>
      <c r="C109" s="846">
        <v>102</v>
      </c>
      <c r="D109" s="842" t="s">
        <v>523</v>
      </c>
      <c r="E109" s="842" t="s">
        <v>1165</v>
      </c>
      <c r="F109" s="864"/>
    </row>
    <row r="110" spans="1:6" ht="38.25" x14ac:dyDescent="0.2">
      <c r="A110" s="123"/>
      <c r="B110" s="123"/>
      <c r="C110" s="845">
        <v>103</v>
      </c>
      <c r="D110" s="842" t="s">
        <v>1166</v>
      </c>
      <c r="E110" s="842" t="s">
        <v>1309</v>
      </c>
      <c r="F110" s="864"/>
    </row>
    <row r="111" spans="1:6" x14ac:dyDescent="0.2">
      <c r="A111" s="123" t="s">
        <v>1152</v>
      </c>
      <c r="B111" s="123" t="s">
        <v>1167</v>
      </c>
      <c r="C111" s="846">
        <v>104</v>
      </c>
      <c r="D111" s="842" t="s">
        <v>984</v>
      </c>
      <c r="E111" s="842" t="s">
        <v>1310</v>
      </c>
      <c r="F111" s="864"/>
    </row>
    <row r="112" spans="1:6" x14ac:dyDescent="0.2">
      <c r="A112" s="123" t="s">
        <v>1159</v>
      </c>
      <c r="B112" s="123" t="s">
        <v>1168</v>
      </c>
      <c r="C112" s="845">
        <v>105</v>
      </c>
      <c r="D112" s="842" t="s">
        <v>504</v>
      </c>
      <c r="E112" s="842" t="s">
        <v>1169</v>
      </c>
      <c r="F112" s="864"/>
    </row>
    <row r="113" spans="1:6" ht="25.5" x14ac:dyDescent="0.2">
      <c r="A113" s="123"/>
      <c r="B113" s="123"/>
      <c r="C113" s="846">
        <v>106</v>
      </c>
      <c r="D113" s="842" t="s">
        <v>985</v>
      </c>
      <c r="E113" s="842" t="s">
        <v>1170</v>
      </c>
      <c r="F113" s="864"/>
    </row>
    <row r="114" spans="1:6" x14ac:dyDescent="0.2">
      <c r="A114" s="123"/>
      <c r="B114" s="123"/>
      <c r="C114" s="845">
        <v>107</v>
      </c>
      <c r="D114" s="842" t="s">
        <v>505</v>
      </c>
      <c r="E114" s="842" t="s">
        <v>1171</v>
      </c>
      <c r="F114" s="864"/>
    </row>
    <row r="115" spans="1:6" ht="25.5" x14ac:dyDescent="0.2">
      <c r="A115" s="123"/>
      <c r="B115" s="123"/>
      <c r="C115" s="846">
        <v>108</v>
      </c>
      <c r="D115" s="842" t="s">
        <v>1035</v>
      </c>
      <c r="E115" s="842" t="s">
        <v>1311</v>
      </c>
      <c r="F115" s="864"/>
    </row>
    <row r="116" spans="1:6" x14ac:dyDescent="0.2">
      <c r="A116" s="123" t="s">
        <v>1152</v>
      </c>
      <c r="B116" s="123" t="s">
        <v>1172</v>
      </c>
      <c r="C116" s="845">
        <v>109</v>
      </c>
      <c r="D116" s="842" t="s">
        <v>988</v>
      </c>
      <c r="E116" s="842" t="s">
        <v>1312</v>
      </c>
      <c r="F116" s="864"/>
    </row>
    <row r="117" spans="1:6" ht="25.5" x14ac:dyDescent="0.2">
      <c r="A117" s="123"/>
      <c r="B117" s="123"/>
      <c r="C117" s="846">
        <v>110</v>
      </c>
      <c r="D117" s="842" t="s">
        <v>986</v>
      </c>
      <c r="E117" s="842" t="s">
        <v>1313</v>
      </c>
      <c r="F117" s="864"/>
    </row>
    <row r="118" spans="1:6" x14ac:dyDescent="0.2">
      <c r="A118" s="123"/>
      <c r="B118" s="123"/>
      <c r="C118" s="845">
        <v>111</v>
      </c>
      <c r="D118" s="842" t="s">
        <v>987</v>
      </c>
      <c r="E118" s="842" t="s">
        <v>1314</v>
      </c>
      <c r="F118" s="864"/>
    </row>
    <row r="119" spans="1:6" ht="25.5" x14ac:dyDescent="0.2">
      <c r="A119" s="123"/>
      <c r="B119" s="123" t="s">
        <v>1173</v>
      </c>
      <c r="C119" s="846">
        <v>112</v>
      </c>
      <c r="D119" s="842" t="s">
        <v>989</v>
      </c>
      <c r="E119" s="842" t="s">
        <v>1275</v>
      </c>
      <c r="F119" s="864"/>
    </row>
    <row r="120" spans="1:6" ht="63.75" x14ac:dyDescent="0.2">
      <c r="A120" s="847" t="s">
        <v>1137</v>
      </c>
      <c r="B120" s="847" t="s">
        <v>1174</v>
      </c>
      <c r="C120" s="845">
        <v>113</v>
      </c>
      <c r="D120" s="863" t="s">
        <v>1256</v>
      </c>
      <c r="E120" s="869" t="s">
        <v>1315</v>
      </c>
      <c r="F120" s="864"/>
    </row>
    <row r="121" spans="1:6" x14ac:dyDescent="0.2">
      <c r="A121" s="847"/>
      <c r="B121" s="847" t="s">
        <v>1253</v>
      </c>
      <c r="C121" s="846">
        <v>114</v>
      </c>
      <c r="D121" s="864" t="s">
        <v>255</v>
      </c>
      <c r="E121" s="842" t="s">
        <v>1204</v>
      </c>
      <c r="F121" s="864"/>
    </row>
    <row r="122" spans="1:6" x14ac:dyDescent="0.2">
      <c r="A122" s="847"/>
      <c r="B122" s="847"/>
      <c r="C122" s="845">
        <v>115</v>
      </c>
      <c r="D122" s="864" t="s">
        <v>230</v>
      </c>
      <c r="E122" s="864" t="s">
        <v>230</v>
      </c>
      <c r="F122" s="864"/>
    </row>
    <row r="123" spans="1:6" x14ac:dyDescent="0.2">
      <c r="A123" s="847"/>
      <c r="B123" s="847"/>
      <c r="C123" s="846">
        <v>116</v>
      </c>
      <c r="D123" s="864" t="s">
        <v>232</v>
      </c>
      <c r="E123" s="864" t="s">
        <v>232</v>
      </c>
      <c r="F123" s="864"/>
    </row>
    <row r="124" spans="1:6" x14ac:dyDescent="0.2">
      <c r="A124" s="847"/>
      <c r="B124" s="847"/>
      <c r="C124" s="845">
        <v>117</v>
      </c>
      <c r="D124" s="864" t="s">
        <v>287</v>
      </c>
      <c r="E124" s="842" t="s">
        <v>1200</v>
      </c>
      <c r="F124" s="864"/>
    </row>
    <row r="125" spans="1:6" x14ac:dyDescent="0.2">
      <c r="A125" s="847"/>
      <c r="B125" s="847"/>
      <c r="C125" s="846">
        <v>118</v>
      </c>
      <c r="D125" s="864" t="s">
        <v>1254</v>
      </c>
      <c r="E125" s="842" t="s">
        <v>1254</v>
      </c>
      <c r="F125" s="864"/>
    </row>
    <row r="126" spans="1:6" x14ac:dyDescent="0.2">
      <c r="A126" s="847"/>
      <c r="B126" s="847"/>
      <c r="C126" s="845">
        <v>119</v>
      </c>
      <c r="D126" s="864" t="s">
        <v>90</v>
      </c>
      <c r="E126" s="842" t="s">
        <v>1203</v>
      </c>
      <c r="F126" s="864"/>
    </row>
    <row r="127" spans="1:6" x14ac:dyDescent="0.2">
      <c r="A127" s="123" t="s">
        <v>1141</v>
      </c>
      <c r="B127" s="123" t="s">
        <v>1175</v>
      </c>
      <c r="C127" s="845">
        <v>120</v>
      </c>
      <c r="D127" s="842" t="s">
        <v>801</v>
      </c>
      <c r="E127" s="842" t="s">
        <v>1176</v>
      </c>
      <c r="F127" s="864"/>
    </row>
    <row r="128" spans="1:6" x14ac:dyDescent="0.2">
      <c r="A128" s="123"/>
      <c r="B128" s="123" t="s">
        <v>1177</v>
      </c>
      <c r="C128" s="846">
        <v>121</v>
      </c>
      <c r="D128" s="842" t="s">
        <v>426</v>
      </c>
      <c r="E128" s="842" t="s">
        <v>1316</v>
      </c>
      <c r="F128" s="864"/>
    </row>
    <row r="129" spans="1:6" x14ac:dyDescent="0.2">
      <c r="A129" s="123" t="s">
        <v>1178</v>
      </c>
      <c r="B129" s="123" t="s">
        <v>1179</v>
      </c>
      <c r="C129" s="845">
        <v>122</v>
      </c>
      <c r="D129" s="842" t="s">
        <v>936</v>
      </c>
      <c r="E129" s="842" t="s">
        <v>1180</v>
      </c>
      <c r="F129" s="864"/>
    </row>
    <row r="130" spans="1:6" x14ac:dyDescent="0.2">
      <c r="A130" s="123"/>
      <c r="B130" s="123" t="s">
        <v>1181</v>
      </c>
      <c r="C130" s="845">
        <v>123</v>
      </c>
      <c r="D130" s="842" t="s">
        <v>796</v>
      </c>
      <c r="E130" s="842" t="s">
        <v>1182</v>
      </c>
      <c r="F130" s="864"/>
    </row>
    <row r="131" spans="1:6" x14ac:dyDescent="0.2">
      <c r="A131" s="123"/>
      <c r="B131" s="123"/>
      <c r="C131" s="846">
        <v>124</v>
      </c>
      <c r="D131" s="842" t="s">
        <v>937</v>
      </c>
      <c r="E131" s="842" t="s">
        <v>1317</v>
      </c>
      <c r="F131" s="864"/>
    </row>
    <row r="132" spans="1:6" ht="25.5" x14ac:dyDescent="0.2">
      <c r="A132" s="123"/>
      <c r="B132" s="123" t="s">
        <v>1181</v>
      </c>
      <c r="C132" s="845">
        <v>125</v>
      </c>
      <c r="D132" s="842" t="s">
        <v>1183</v>
      </c>
      <c r="E132" s="842" t="s">
        <v>1318</v>
      </c>
      <c r="F132" s="864"/>
    </row>
    <row r="133" spans="1:6" x14ac:dyDescent="0.2">
      <c r="A133" s="123"/>
      <c r="B133" s="123" t="s">
        <v>1184</v>
      </c>
      <c r="C133" s="845">
        <v>126</v>
      </c>
      <c r="D133" s="842" t="s">
        <v>1056</v>
      </c>
      <c r="E133" s="842" t="s">
        <v>1277</v>
      </c>
      <c r="F133" s="864"/>
    </row>
    <row r="134" spans="1:6" x14ac:dyDescent="0.2">
      <c r="A134" s="123" t="s">
        <v>1141</v>
      </c>
      <c r="B134" s="123" t="s">
        <v>1185</v>
      </c>
      <c r="C134" s="846">
        <v>127</v>
      </c>
      <c r="D134" s="842" t="s">
        <v>673</v>
      </c>
      <c r="E134" s="842" t="s">
        <v>1319</v>
      </c>
      <c r="F134" s="864"/>
    </row>
    <row r="135" spans="1:6" x14ac:dyDescent="0.2">
      <c r="A135" s="123" t="s">
        <v>1178</v>
      </c>
      <c r="B135" s="123" t="s">
        <v>1186</v>
      </c>
      <c r="C135" s="845">
        <v>128</v>
      </c>
      <c r="D135" s="842" t="s">
        <v>672</v>
      </c>
      <c r="E135" s="842" t="s">
        <v>1187</v>
      </c>
      <c r="F135" s="864"/>
    </row>
    <row r="136" spans="1:6" ht="25.5" x14ac:dyDescent="0.2">
      <c r="A136" s="123"/>
      <c r="B136" s="123" t="s">
        <v>1181</v>
      </c>
      <c r="C136" s="845">
        <v>129</v>
      </c>
      <c r="D136" s="842" t="s">
        <v>693</v>
      </c>
      <c r="E136" s="842" t="s">
        <v>1188</v>
      </c>
      <c r="F136" s="864"/>
    </row>
    <row r="137" spans="1:6" x14ac:dyDescent="0.2">
      <c r="A137" s="123"/>
      <c r="B137" s="123"/>
      <c r="C137" s="846">
        <v>130</v>
      </c>
      <c r="D137" s="842" t="s">
        <v>773</v>
      </c>
      <c r="E137" s="842" t="s">
        <v>1189</v>
      </c>
      <c r="F137" s="864"/>
    </row>
    <row r="138" spans="1:6" ht="25.5" x14ac:dyDescent="0.2">
      <c r="A138" s="123"/>
      <c r="B138" s="123"/>
      <c r="C138" s="845">
        <v>131</v>
      </c>
      <c r="D138" s="842" t="s">
        <v>784</v>
      </c>
      <c r="E138" s="842" t="s">
        <v>1320</v>
      </c>
      <c r="F138" s="864"/>
    </row>
    <row r="139" spans="1:6" x14ac:dyDescent="0.2">
      <c r="A139" s="123"/>
      <c r="B139" s="123"/>
      <c r="C139" s="846">
        <v>132</v>
      </c>
      <c r="D139" s="842" t="s">
        <v>774</v>
      </c>
      <c r="E139" s="842" t="s">
        <v>1190</v>
      </c>
      <c r="F139" s="864"/>
    </row>
    <row r="140" spans="1:6" ht="38.25" x14ac:dyDescent="0.2">
      <c r="A140" s="123"/>
      <c r="B140" s="123"/>
      <c r="C140" s="845">
        <v>133</v>
      </c>
      <c r="D140" s="842" t="s">
        <v>1191</v>
      </c>
      <c r="E140" s="842" t="s">
        <v>1192</v>
      </c>
      <c r="F140" s="864"/>
    </row>
    <row r="141" spans="1:6" x14ac:dyDescent="0.2">
      <c r="A141" s="123" t="s">
        <v>1141</v>
      </c>
      <c r="B141" s="123" t="s">
        <v>1193</v>
      </c>
      <c r="C141" s="846">
        <v>134</v>
      </c>
      <c r="D141" s="842" t="s">
        <v>797</v>
      </c>
      <c r="E141" s="842" t="s">
        <v>1194</v>
      </c>
      <c r="F141" s="864"/>
    </row>
    <row r="142" spans="1:6" x14ac:dyDescent="0.2">
      <c r="A142" s="123"/>
      <c r="B142" s="123" t="s">
        <v>1195</v>
      </c>
      <c r="C142" s="845">
        <v>135</v>
      </c>
      <c r="D142" s="842" t="s">
        <v>1155</v>
      </c>
      <c r="E142" s="842" t="s">
        <v>1321</v>
      </c>
      <c r="F142" s="864"/>
    </row>
    <row r="143" spans="1:6" x14ac:dyDescent="0.2">
      <c r="A143" s="123" t="s">
        <v>1178</v>
      </c>
      <c r="B143" s="123" t="s">
        <v>1196</v>
      </c>
      <c r="C143" s="846">
        <v>136</v>
      </c>
      <c r="D143" s="842" t="s">
        <v>66</v>
      </c>
      <c r="E143" s="842" t="s">
        <v>1197</v>
      </c>
      <c r="F143" s="864"/>
    </row>
    <row r="144" spans="1:6" x14ac:dyDescent="0.2">
      <c r="A144" s="123" t="s">
        <v>1198</v>
      </c>
      <c r="B144" s="123"/>
      <c r="C144" s="845">
        <v>137</v>
      </c>
      <c r="D144" s="842" t="s">
        <v>286</v>
      </c>
      <c r="E144" s="842" t="s">
        <v>286</v>
      </c>
      <c r="F144" s="864"/>
    </row>
    <row r="145" spans="1:6" x14ac:dyDescent="0.2">
      <c r="A145" s="123"/>
      <c r="B145" s="123"/>
      <c r="C145" s="846">
        <v>138</v>
      </c>
      <c r="D145" s="842" t="s">
        <v>451</v>
      </c>
      <c r="E145" s="842" t="s">
        <v>451</v>
      </c>
      <c r="F145" s="864"/>
    </row>
    <row r="146" spans="1:6" x14ac:dyDescent="0.2">
      <c r="A146" s="123"/>
      <c r="B146" s="123"/>
      <c r="C146" s="846">
        <v>139</v>
      </c>
      <c r="D146" s="842" t="s">
        <v>452</v>
      </c>
      <c r="E146" s="842" t="s">
        <v>1199</v>
      </c>
      <c r="F146" s="864"/>
    </row>
    <row r="147" spans="1:6" x14ac:dyDescent="0.2">
      <c r="A147" s="123"/>
      <c r="B147" s="123"/>
      <c r="C147" s="845">
        <v>140</v>
      </c>
      <c r="D147" s="842" t="s">
        <v>287</v>
      </c>
      <c r="E147" s="842" t="s">
        <v>1200</v>
      </c>
      <c r="F147" s="864"/>
    </row>
    <row r="148" spans="1:6" x14ac:dyDescent="0.2">
      <c r="A148" s="123"/>
      <c r="B148" s="123"/>
      <c r="C148" s="846">
        <v>141</v>
      </c>
      <c r="D148" s="842" t="s">
        <v>444</v>
      </c>
      <c r="E148" s="842" t="s">
        <v>1201</v>
      </c>
      <c r="F148" s="864"/>
    </row>
    <row r="149" spans="1:6" x14ac:dyDescent="0.2">
      <c r="A149" s="123"/>
      <c r="B149" s="123"/>
      <c r="C149" s="846">
        <v>142</v>
      </c>
      <c r="D149" s="842" t="s">
        <v>225</v>
      </c>
      <c r="E149" s="842" t="s">
        <v>1202</v>
      </c>
      <c r="F149" s="864"/>
    </row>
    <row r="150" spans="1:6" x14ac:dyDescent="0.2">
      <c r="A150" s="123"/>
      <c r="B150" s="123"/>
      <c r="C150" s="845">
        <v>143</v>
      </c>
      <c r="D150" s="842" t="s">
        <v>90</v>
      </c>
      <c r="E150" s="842" t="s">
        <v>1203</v>
      </c>
      <c r="F150" s="864"/>
    </row>
    <row r="151" spans="1:6" x14ac:dyDescent="0.2">
      <c r="A151" s="123"/>
      <c r="B151" s="123"/>
      <c r="C151" s="846">
        <v>144</v>
      </c>
      <c r="D151" s="842" t="s">
        <v>255</v>
      </c>
      <c r="E151" s="842" t="s">
        <v>1204</v>
      </c>
      <c r="F151" s="864"/>
    </row>
    <row r="152" spans="1:6" x14ac:dyDescent="0.2">
      <c r="A152" s="123" t="s">
        <v>1141</v>
      </c>
      <c r="B152" s="123" t="s">
        <v>1205</v>
      </c>
      <c r="C152" s="846">
        <v>145</v>
      </c>
      <c r="D152" s="842" t="s">
        <v>1033</v>
      </c>
      <c r="E152" s="842" t="s">
        <v>1322</v>
      </c>
      <c r="F152" s="864"/>
    </row>
    <row r="153" spans="1:6" x14ac:dyDescent="0.2">
      <c r="A153" s="123"/>
      <c r="B153" s="123"/>
      <c r="C153" s="845">
        <v>146</v>
      </c>
      <c r="D153" s="842" t="s">
        <v>900</v>
      </c>
      <c r="E153" s="842" t="s">
        <v>1206</v>
      </c>
      <c r="F153" s="864"/>
    </row>
    <row r="154" spans="1:6" x14ac:dyDescent="0.2">
      <c r="A154" s="123"/>
      <c r="B154" s="123"/>
      <c r="C154" s="846">
        <v>147</v>
      </c>
      <c r="D154" s="842" t="s">
        <v>1032</v>
      </c>
      <c r="E154" s="842" t="s">
        <v>1207</v>
      </c>
      <c r="F154" s="864"/>
    </row>
    <row r="155" spans="1:6" x14ac:dyDescent="0.2">
      <c r="A155" s="123"/>
      <c r="B155" s="123"/>
      <c r="C155" s="846">
        <v>148</v>
      </c>
      <c r="D155" s="842" t="s">
        <v>724</v>
      </c>
      <c r="E155" s="842" t="s">
        <v>1208</v>
      </c>
      <c r="F155" s="864"/>
    </row>
    <row r="156" spans="1:6" x14ac:dyDescent="0.2">
      <c r="A156" s="123"/>
      <c r="B156" s="123"/>
      <c r="C156" s="846">
        <v>149</v>
      </c>
      <c r="D156" s="842" t="s">
        <v>735</v>
      </c>
      <c r="E156" s="842" t="s">
        <v>1209</v>
      </c>
      <c r="F156" s="864"/>
    </row>
    <row r="157" spans="1:6" x14ac:dyDescent="0.2">
      <c r="A157" s="123"/>
      <c r="B157" s="123" t="s">
        <v>1210</v>
      </c>
      <c r="C157" s="845">
        <v>150</v>
      </c>
      <c r="D157" s="842" t="s">
        <v>738</v>
      </c>
      <c r="E157" s="842" t="s">
        <v>1286</v>
      </c>
      <c r="F157" s="864"/>
    </row>
    <row r="158" spans="1:6" x14ac:dyDescent="0.2">
      <c r="A158" s="123"/>
      <c r="B158" s="123" t="s">
        <v>530</v>
      </c>
      <c r="C158" s="846">
        <v>151</v>
      </c>
      <c r="D158" s="842" t="s">
        <v>769</v>
      </c>
      <c r="E158" s="842" t="s">
        <v>1257</v>
      </c>
      <c r="F158" s="864"/>
    </row>
    <row r="159" spans="1:6" x14ac:dyDescent="0.2">
      <c r="A159" s="123"/>
      <c r="B159" s="123"/>
      <c r="C159" s="845">
        <v>152</v>
      </c>
      <c r="D159" s="842" t="s">
        <v>770</v>
      </c>
      <c r="E159" s="842" t="s">
        <v>1258</v>
      </c>
      <c r="F159" s="864"/>
    </row>
    <row r="160" spans="1:6" x14ac:dyDescent="0.2">
      <c r="A160" s="123"/>
      <c r="B160" s="123"/>
      <c r="C160" s="846">
        <v>153</v>
      </c>
      <c r="D160" s="842" t="s">
        <v>771</v>
      </c>
      <c r="E160" s="842" t="s">
        <v>1259</v>
      </c>
      <c r="F160" s="864"/>
    </row>
    <row r="161" spans="1:14" x14ac:dyDescent="0.2">
      <c r="A161" s="123"/>
      <c r="B161" s="123"/>
      <c r="C161" s="846">
        <v>154</v>
      </c>
      <c r="D161" s="842" t="s">
        <v>725</v>
      </c>
      <c r="E161" s="842" t="s">
        <v>1211</v>
      </c>
      <c r="F161" s="864"/>
    </row>
    <row r="162" spans="1:14" x14ac:dyDescent="0.2">
      <c r="A162" s="123"/>
      <c r="B162" s="123"/>
      <c r="C162" s="845">
        <v>155</v>
      </c>
      <c r="D162" s="842" t="s">
        <v>732</v>
      </c>
      <c r="E162" s="842" t="s">
        <v>1212</v>
      </c>
      <c r="F162" s="864"/>
    </row>
    <row r="163" spans="1:14" x14ac:dyDescent="0.2">
      <c r="A163" s="123"/>
      <c r="B163" s="123"/>
      <c r="C163" s="846">
        <v>156</v>
      </c>
      <c r="D163" s="842" t="s">
        <v>731</v>
      </c>
      <c r="E163" s="842" t="s">
        <v>1213</v>
      </c>
      <c r="F163" s="864"/>
    </row>
    <row r="164" spans="1:14" x14ac:dyDescent="0.2">
      <c r="A164" s="123"/>
      <c r="B164" s="123" t="s">
        <v>1214</v>
      </c>
      <c r="C164" s="846">
        <v>157</v>
      </c>
      <c r="D164" s="842" t="s">
        <v>1028</v>
      </c>
      <c r="E164" s="842" t="s">
        <v>1323</v>
      </c>
      <c r="F164" s="864"/>
    </row>
    <row r="165" spans="1:14" x14ac:dyDescent="0.2">
      <c r="A165" s="123"/>
      <c r="B165" s="123" t="s">
        <v>1172</v>
      </c>
      <c r="C165" s="846">
        <v>158</v>
      </c>
      <c r="D165" s="842" t="s">
        <v>798</v>
      </c>
      <c r="E165" s="842" t="s">
        <v>1324</v>
      </c>
      <c r="F165" s="864"/>
    </row>
    <row r="166" spans="1:14" ht="25.5" x14ac:dyDescent="0.2">
      <c r="A166" s="123"/>
      <c r="B166" s="123"/>
      <c r="C166" s="845">
        <v>159</v>
      </c>
      <c r="D166" s="842" t="s">
        <v>759</v>
      </c>
      <c r="E166" s="842" t="s">
        <v>1215</v>
      </c>
      <c r="F166" s="864"/>
    </row>
    <row r="167" spans="1:14" x14ac:dyDescent="0.2">
      <c r="A167" s="123" t="s">
        <v>1216</v>
      </c>
      <c r="B167" s="123" t="s">
        <v>1217</v>
      </c>
      <c r="C167" s="846">
        <v>160</v>
      </c>
      <c r="D167" s="842" t="s">
        <v>765</v>
      </c>
      <c r="E167" s="842" t="s">
        <v>1325</v>
      </c>
      <c r="F167" s="864"/>
    </row>
    <row r="168" spans="1:14" x14ac:dyDescent="0.2">
      <c r="A168" s="123" t="s">
        <v>1218</v>
      </c>
      <c r="B168" s="123" t="s">
        <v>1219</v>
      </c>
      <c r="C168" s="845">
        <v>161</v>
      </c>
      <c r="D168" s="842" t="s">
        <v>762</v>
      </c>
      <c r="E168" s="872" t="s">
        <v>1326</v>
      </c>
      <c r="F168" s="864"/>
    </row>
    <row r="169" spans="1:14" x14ac:dyDescent="0.2">
      <c r="A169" s="123"/>
      <c r="B169" s="123"/>
      <c r="C169" s="846">
        <v>162</v>
      </c>
      <c r="D169" s="871" t="s">
        <v>915</v>
      </c>
      <c r="E169" s="874" t="s">
        <v>1327</v>
      </c>
      <c r="F169" s="870"/>
    </row>
    <row r="170" spans="1:14" x14ac:dyDescent="0.2">
      <c r="A170" s="123"/>
      <c r="B170" s="123"/>
      <c r="C170" s="845">
        <v>163</v>
      </c>
      <c r="D170" s="842" t="s">
        <v>779</v>
      </c>
      <c r="E170" s="875" t="s">
        <v>1328</v>
      </c>
      <c r="F170" s="864"/>
    </row>
    <row r="171" spans="1:14" x14ac:dyDescent="0.2">
      <c r="A171" s="123"/>
      <c r="B171" s="123"/>
      <c r="C171" s="846">
        <v>164</v>
      </c>
      <c r="D171" s="842" t="s">
        <v>764</v>
      </c>
      <c r="E171" s="876" t="s">
        <v>1348</v>
      </c>
      <c r="F171" s="864"/>
    </row>
    <row r="172" spans="1:14" x14ac:dyDescent="0.2">
      <c r="A172" s="123" t="s">
        <v>1220</v>
      </c>
      <c r="B172" s="123"/>
      <c r="C172" s="846">
        <v>165</v>
      </c>
      <c r="D172" s="842" t="s">
        <v>760</v>
      </c>
      <c r="E172" s="842" t="s">
        <v>1329</v>
      </c>
      <c r="F172" s="864"/>
      <c r="G172" s="841"/>
      <c r="H172" s="841"/>
      <c r="I172" s="841"/>
      <c r="J172" s="841"/>
      <c r="K172" s="841"/>
      <c r="L172" s="33"/>
      <c r="M172" s="33"/>
      <c r="N172" s="33"/>
    </row>
    <row r="173" spans="1:14" ht="25.5" x14ac:dyDescent="0.2">
      <c r="A173" s="123"/>
      <c r="B173" s="123"/>
      <c r="C173" s="845">
        <v>166</v>
      </c>
      <c r="D173" s="842" t="s">
        <v>973</v>
      </c>
      <c r="E173" s="842" t="s">
        <v>1330</v>
      </c>
      <c r="F173" s="864"/>
      <c r="G173" s="841"/>
      <c r="H173" s="841"/>
      <c r="I173" s="841"/>
      <c r="J173" s="841"/>
      <c r="K173" s="841"/>
      <c r="L173" s="33"/>
      <c r="M173" s="33"/>
      <c r="N173" s="33"/>
    </row>
    <row r="174" spans="1:14" ht="25.5" x14ac:dyDescent="0.2">
      <c r="A174" s="123"/>
      <c r="B174" s="123"/>
      <c r="C174" s="846">
        <v>167</v>
      </c>
      <c r="D174" s="842" t="s">
        <v>919</v>
      </c>
      <c r="E174" s="842" t="s">
        <v>1331</v>
      </c>
      <c r="F174" s="864"/>
      <c r="G174" s="841"/>
      <c r="H174" s="841"/>
      <c r="I174" s="841"/>
      <c r="J174" s="841"/>
      <c r="K174" s="841"/>
      <c r="L174" s="33"/>
      <c r="M174" s="33"/>
      <c r="N174" s="33"/>
    </row>
    <row r="175" spans="1:14" x14ac:dyDescent="0.2">
      <c r="A175" s="123"/>
      <c r="B175" s="123"/>
      <c r="C175" s="846">
        <v>168</v>
      </c>
      <c r="D175" s="842" t="s">
        <v>761</v>
      </c>
      <c r="E175" s="842" t="s">
        <v>1332</v>
      </c>
      <c r="F175" s="864"/>
      <c r="G175" s="841"/>
      <c r="H175" s="841"/>
      <c r="I175" s="841"/>
      <c r="J175" s="841"/>
      <c r="K175" s="841"/>
      <c r="L175" s="33"/>
      <c r="M175" s="33"/>
      <c r="N175" s="33"/>
    </row>
    <row r="176" spans="1:14" x14ac:dyDescent="0.2">
      <c r="A176" s="123" t="s">
        <v>1141</v>
      </c>
      <c r="B176" s="123" t="s">
        <v>1221</v>
      </c>
      <c r="C176" s="846">
        <v>169</v>
      </c>
      <c r="D176" s="842" t="s">
        <v>941</v>
      </c>
      <c r="E176" s="842" t="s">
        <v>1333</v>
      </c>
      <c r="F176" s="864"/>
      <c r="G176" s="33"/>
      <c r="H176" s="33"/>
      <c r="I176" s="33"/>
      <c r="J176" s="33"/>
      <c r="K176" s="33"/>
      <c r="L176" s="33"/>
      <c r="M176" s="33"/>
      <c r="N176" s="33"/>
    </row>
    <row r="177" spans="1:6" x14ac:dyDescent="0.2">
      <c r="A177" s="123" t="s">
        <v>1222</v>
      </c>
      <c r="B177" s="123"/>
      <c r="C177" s="846">
        <v>170</v>
      </c>
      <c r="D177" s="842" t="s">
        <v>952</v>
      </c>
      <c r="E177" s="842" t="s">
        <v>1223</v>
      </c>
      <c r="F177" s="864"/>
    </row>
    <row r="178" spans="1:6" ht="38.25" x14ac:dyDescent="0.2">
      <c r="A178" s="123"/>
      <c r="B178" s="123" t="s">
        <v>1224</v>
      </c>
      <c r="C178" s="846">
        <v>171</v>
      </c>
      <c r="D178" s="842" t="s">
        <v>951</v>
      </c>
      <c r="E178" s="842" t="s">
        <v>1334</v>
      </c>
      <c r="F178" s="864"/>
    </row>
    <row r="179" spans="1:6" x14ac:dyDescent="0.2">
      <c r="A179" s="123"/>
      <c r="B179" s="123" t="s">
        <v>1225</v>
      </c>
      <c r="C179" s="846">
        <v>172</v>
      </c>
      <c r="D179" s="842" t="s">
        <v>950</v>
      </c>
      <c r="E179" s="842" t="s">
        <v>1335</v>
      </c>
      <c r="F179" s="864"/>
    </row>
    <row r="180" spans="1:6" ht="38.25" x14ac:dyDescent="0.2">
      <c r="A180" s="123"/>
      <c r="B180" s="123" t="s">
        <v>1226</v>
      </c>
      <c r="C180" s="846">
        <v>173</v>
      </c>
      <c r="D180" s="842" t="s">
        <v>943</v>
      </c>
      <c r="E180" s="842" t="s">
        <v>1336</v>
      </c>
      <c r="F180" s="864"/>
    </row>
    <row r="181" spans="1:6" x14ac:dyDescent="0.2">
      <c r="A181" s="123"/>
      <c r="B181" s="123"/>
      <c r="C181" s="846">
        <v>174</v>
      </c>
      <c r="D181" s="842" t="s">
        <v>953</v>
      </c>
      <c r="E181" s="842" t="s">
        <v>1337</v>
      </c>
      <c r="F181" s="864"/>
    </row>
    <row r="182" spans="1:6" ht="25.5" x14ac:dyDescent="0.2">
      <c r="A182" s="123"/>
      <c r="B182" s="123"/>
      <c r="C182" s="846">
        <v>175</v>
      </c>
      <c r="D182" s="842" t="s">
        <v>990</v>
      </c>
      <c r="E182" s="842" t="s">
        <v>1338</v>
      </c>
      <c r="F182" s="864"/>
    </row>
    <row r="183" spans="1:6" ht="38.25" x14ac:dyDescent="0.2">
      <c r="A183" s="123"/>
      <c r="B183" s="123"/>
      <c r="C183" s="846">
        <v>176</v>
      </c>
      <c r="D183" s="842" t="s">
        <v>949</v>
      </c>
      <c r="E183" s="842" t="s">
        <v>1227</v>
      </c>
      <c r="F183" s="864"/>
    </row>
    <row r="184" spans="1:6" ht="38.25" x14ac:dyDescent="0.2">
      <c r="A184" s="123"/>
      <c r="B184" s="123"/>
      <c r="C184" s="846">
        <v>177</v>
      </c>
      <c r="D184" s="842" t="s">
        <v>946</v>
      </c>
      <c r="E184" s="842" t="s">
        <v>1339</v>
      </c>
      <c r="F184" s="864"/>
    </row>
    <row r="185" spans="1:6" ht="25.5" x14ac:dyDescent="0.2">
      <c r="A185" s="123"/>
      <c r="B185" s="123"/>
      <c r="C185" s="846">
        <v>178</v>
      </c>
      <c r="D185" s="842" t="s">
        <v>947</v>
      </c>
      <c r="E185" s="842" t="s">
        <v>1340</v>
      </c>
      <c r="F185" s="864"/>
    </row>
    <row r="186" spans="1:6" ht="25.5" x14ac:dyDescent="0.2">
      <c r="A186" s="123"/>
      <c r="B186" s="123"/>
      <c r="C186" s="846">
        <v>179</v>
      </c>
      <c r="D186" s="842" t="s">
        <v>948</v>
      </c>
      <c r="E186" s="842" t="s">
        <v>1228</v>
      </c>
      <c r="F186" s="864"/>
    </row>
    <row r="187" spans="1:6" x14ac:dyDescent="0.2">
      <c r="A187" s="123"/>
      <c r="B187" s="123" t="s">
        <v>1229</v>
      </c>
      <c r="C187" s="846">
        <v>180</v>
      </c>
      <c r="D187" s="842" t="s">
        <v>1273</v>
      </c>
      <c r="E187" s="842" t="s">
        <v>1274</v>
      </c>
      <c r="F187" s="864"/>
    </row>
    <row r="188" spans="1:6" x14ac:dyDescent="0.2">
      <c r="A188" s="123"/>
      <c r="B188" s="123" t="s">
        <v>1230</v>
      </c>
      <c r="C188" s="846">
        <v>181</v>
      </c>
      <c r="D188" s="842" t="s">
        <v>500</v>
      </c>
      <c r="E188" s="842" t="s">
        <v>1094</v>
      </c>
      <c r="F188" s="864"/>
    </row>
    <row r="189" spans="1:6" ht="25.5" x14ac:dyDescent="0.2">
      <c r="A189" s="123"/>
      <c r="B189" s="123" t="s">
        <v>1231</v>
      </c>
      <c r="C189" s="846">
        <v>182</v>
      </c>
      <c r="D189" s="842" t="s">
        <v>1003</v>
      </c>
      <c r="E189" s="842" t="s">
        <v>1341</v>
      </c>
      <c r="F189" s="864"/>
    </row>
    <row r="190" spans="1:6" ht="25.5" x14ac:dyDescent="0.2">
      <c r="A190" s="123"/>
      <c r="B190" s="123" t="s">
        <v>1232</v>
      </c>
      <c r="C190" s="846">
        <v>183</v>
      </c>
      <c r="D190" s="842" t="s">
        <v>956</v>
      </c>
      <c r="E190" s="842" t="s">
        <v>1233</v>
      </c>
      <c r="F190" s="864"/>
    </row>
    <row r="191" spans="1:6" x14ac:dyDescent="0.2">
      <c r="A191" s="123" t="s">
        <v>1234</v>
      </c>
      <c r="B191" s="123" t="s">
        <v>1235</v>
      </c>
      <c r="C191" s="846">
        <v>184</v>
      </c>
      <c r="D191" s="842"/>
      <c r="E191" s="842"/>
      <c r="F191" s="864"/>
    </row>
    <row r="192" spans="1:6" x14ac:dyDescent="0.2">
      <c r="A192" s="123" t="s">
        <v>1234</v>
      </c>
      <c r="B192" s="123" t="s">
        <v>1236</v>
      </c>
      <c r="C192" s="846">
        <v>185</v>
      </c>
      <c r="D192" s="842"/>
      <c r="E192" s="842"/>
      <c r="F192" s="864"/>
    </row>
    <row r="193" spans="1:6" x14ac:dyDescent="0.2">
      <c r="A193" s="123"/>
      <c r="B193" s="123"/>
      <c r="C193" s="846">
        <v>186</v>
      </c>
      <c r="D193" s="842" t="s">
        <v>501</v>
      </c>
      <c r="E193" s="842" t="s">
        <v>1237</v>
      </c>
      <c r="F193" s="864"/>
    </row>
    <row r="194" spans="1:6" ht="25.5" x14ac:dyDescent="0.2">
      <c r="A194" s="123"/>
      <c r="B194" s="123" t="s">
        <v>1231</v>
      </c>
      <c r="C194" s="846">
        <v>187</v>
      </c>
      <c r="D194" s="842" t="s">
        <v>957</v>
      </c>
      <c r="E194" s="842" t="s">
        <v>1342</v>
      </c>
      <c r="F194" s="864"/>
    </row>
    <row r="195" spans="1:6" ht="25.5" x14ac:dyDescent="0.2">
      <c r="A195" s="123"/>
      <c r="B195" s="123" t="s">
        <v>1232</v>
      </c>
      <c r="C195" s="846">
        <v>188</v>
      </c>
      <c r="D195" s="842" t="s">
        <v>956</v>
      </c>
      <c r="E195" s="842" t="s">
        <v>1233</v>
      </c>
      <c r="F195" s="864"/>
    </row>
    <row r="196" spans="1:6" x14ac:dyDescent="0.2">
      <c r="A196" s="123" t="s">
        <v>1234</v>
      </c>
      <c r="B196" s="123" t="s">
        <v>1235</v>
      </c>
      <c r="C196" s="846">
        <v>189</v>
      </c>
      <c r="D196" s="842"/>
      <c r="E196" s="842"/>
      <c r="F196" s="864"/>
    </row>
    <row r="197" spans="1:6" x14ac:dyDescent="0.2">
      <c r="A197" s="123" t="s">
        <v>1234</v>
      </c>
      <c r="B197" s="123" t="s">
        <v>1236</v>
      </c>
      <c r="C197" s="846">
        <v>190</v>
      </c>
      <c r="D197" s="842"/>
      <c r="E197" s="842"/>
      <c r="F197" s="864"/>
    </row>
    <row r="198" spans="1:6" x14ac:dyDescent="0.2">
      <c r="A198" s="123"/>
      <c r="B198" s="123"/>
      <c r="C198" s="846">
        <v>191</v>
      </c>
      <c r="D198" s="842" t="s">
        <v>502</v>
      </c>
      <c r="E198" s="842" t="s">
        <v>1095</v>
      </c>
      <c r="F198" s="864"/>
    </row>
    <row r="199" spans="1:6" x14ac:dyDescent="0.2">
      <c r="A199" s="123"/>
      <c r="B199" s="123" t="s">
        <v>1231</v>
      </c>
      <c r="C199" s="846">
        <v>192</v>
      </c>
      <c r="D199" s="842" t="s">
        <v>1238</v>
      </c>
      <c r="E199" s="842" t="s">
        <v>1343</v>
      </c>
      <c r="F199" s="864"/>
    </row>
    <row r="200" spans="1:6" ht="25.5" x14ac:dyDescent="0.2">
      <c r="A200" s="123"/>
      <c r="B200" s="123" t="s">
        <v>1232</v>
      </c>
      <c r="C200" s="846">
        <v>193</v>
      </c>
      <c r="D200" s="842" t="s">
        <v>940</v>
      </c>
      <c r="E200" s="842" t="s">
        <v>1344</v>
      </c>
      <c r="F200" s="864"/>
    </row>
    <row r="201" spans="1:6" ht="25.5" x14ac:dyDescent="0.2">
      <c r="A201" s="123"/>
      <c r="B201" s="123" t="s">
        <v>1235</v>
      </c>
      <c r="C201" s="846">
        <v>194</v>
      </c>
      <c r="D201" s="842" t="s">
        <v>991</v>
      </c>
      <c r="E201" s="842" t="s">
        <v>1345</v>
      </c>
      <c r="F201" s="864"/>
    </row>
    <row r="202" spans="1:6" ht="25.5" x14ac:dyDescent="0.2">
      <c r="A202" s="123"/>
      <c r="B202" s="123" t="s">
        <v>1236</v>
      </c>
      <c r="C202" s="846">
        <v>195</v>
      </c>
      <c r="D202" s="842" t="s">
        <v>956</v>
      </c>
      <c r="E202" s="842" t="s">
        <v>1233</v>
      </c>
      <c r="F202" s="864"/>
    </row>
  </sheetData>
  <sheetProtection password="D65F" sheet="1" objects="1" scenarios="1" formatCells="0"/>
  <pageMargins left="0.7" right="0.7" top="0.78740157499999996" bottom="0.78740157499999996"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41</vt:i4>
      </vt:variant>
    </vt:vector>
  </HeadingPairs>
  <TitlesOfParts>
    <vt:vector size="50" baseType="lpstr">
      <vt:lpstr>Anleitung</vt:lpstr>
      <vt:lpstr>Fischzuchtanlage</vt:lpstr>
      <vt:lpstr>Grundlagen</vt:lpstr>
      <vt:lpstr>Gewaesserbelastung</vt:lpstr>
      <vt:lpstr>Kostenabschätzung</vt:lpstr>
      <vt:lpstr>Grundlagen Wirtschaftlichkeit</vt:lpstr>
      <vt:lpstr>Tierschutzverordnung</vt:lpstr>
      <vt:lpstr>Literatur</vt:lpstr>
      <vt:lpstr>Sprachen</vt:lpstr>
      <vt:lpstr>Anlagetext</vt:lpstr>
      <vt:lpstr>Anlagetyp</vt:lpstr>
      <vt:lpstr>Beurteilungstext</vt:lpstr>
      <vt:lpstr>DOC</vt:lpstr>
      <vt:lpstr>DOCNormal</vt:lpstr>
      <vt:lpstr>DOCVorbel</vt:lpstr>
      <vt:lpstr>Fischzuchtanlage!Druckbereich</vt:lpstr>
      <vt:lpstr>Kostenabschätzung!Druckbereich</vt:lpstr>
      <vt:lpstr>Entwässerung</vt:lpstr>
      <vt:lpstr>Entwässerungstext</vt:lpstr>
      <vt:lpstr>EZSee</vt:lpstr>
      <vt:lpstr>Fisch</vt:lpstr>
      <vt:lpstr>GelP</vt:lpstr>
      <vt:lpstr>GesP</vt:lpstr>
      <vt:lpstr>kritisch</vt:lpstr>
      <vt:lpstr>MatrixP</vt:lpstr>
      <vt:lpstr>MatrixWG</vt:lpstr>
      <vt:lpstr>NH4N</vt:lpstr>
      <vt:lpstr>nicht</vt:lpstr>
      <vt:lpstr>NO3N</vt:lpstr>
      <vt:lpstr>P_See</vt:lpstr>
      <vt:lpstr>PhosphorF</vt:lpstr>
      <vt:lpstr>PhosphorFText</vt:lpstr>
      <vt:lpstr>Preis</vt:lpstr>
      <vt:lpstr>QWasser</vt:lpstr>
      <vt:lpstr>Schlamm</vt:lpstr>
      <vt:lpstr>Schlammtext</vt:lpstr>
      <vt:lpstr>Sprachen</vt:lpstr>
      <vt:lpstr>StufeDOCGering</vt:lpstr>
      <vt:lpstr>StufeDOCHoch</vt:lpstr>
      <vt:lpstr>StufeNH4</vt:lpstr>
      <vt:lpstr>StufeNO3</vt:lpstr>
      <vt:lpstr>StufePGel</vt:lpstr>
      <vt:lpstr>StufePges</vt:lpstr>
      <vt:lpstr>Texte</vt:lpstr>
      <vt:lpstr>tragbar</vt:lpstr>
      <vt:lpstr>Vorbeh</vt:lpstr>
      <vt:lpstr>VorbehText</vt:lpstr>
      <vt:lpstr>Zuchtart</vt:lpstr>
      <vt:lpstr>Zuchttext</vt:lpstr>
      <vt:lpstr>Zusatzauflagen</vt:lpstr>
    </vt:vector>
  </TitlesOfParts>
  <Company>umwelt und energie (uwe) - 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EBUTSCHER</dc:creator>
  <cp:lastModifiedBy>Kim Häcki</cp:lastModifiedBy>
  <cp:lastPrinted>2016-05-13T13:19:53Z</cp:lastPrinted>
  <dcterms:created xsi:type="dcterms:W3CDTF">2015-12-17T13:17:07Z</dcterms:created>
  <dcterms:modified xsi:type="dcterms:W3CDTF">2019-06-11T11:01:40Z</dcterms:modified>
</cp:coreProperties>
</file>