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C:\Users\KHaecki\Downloads\"/>
    </mc:Choice>
  </mc:AlternateContent>
  <workbookProtection workbookPassword="DD0F" lockStructure="1"/>
  <bookViews>
    <workbookView xWindow="14385" yWindow="-15" windowWidth="14430" windowHeight="13695"/>
  </bookViews>
  <sheets>
    <sheet name="Anleitung" sheetId="1" r:id="rId1"/>
    <sheet name="Fischzuchtanlage" sheetId="9" r:id="rId2"/>
    <sheet name="Grundlagen" sheetId="2" state="hidden" r:id="rId3"/>
    <sheet name="Gewaesserbelastung" sheetId="4" state="hidden" r:id="rId4"/>
    <sheet name="Kostenabschätzung" sheetId="10" state="hidden" r:id="rId5"/>
    <sheet name="Grundlagen Wirtschaftlichkeit" sheetId="5" state="hidden" r:id="rId6"/>
    <sheet name="Tierschutzverordnung" sheetId="6" state="hidden" r:id="rId7"/>
    <sheet name="Literatur" sheetId="3" r:id="rId8"/>
    <sheet name="Sprachen" sheetId="11" state="hidden" r:id="rId9"/>
  </sheets>
  <definedNames>
    <definedName name="Anlagetext">Grundlagen!$R$22:$AA$25</definedName>
    <definedName name="Anlagetyp">Grundlagen!$R$22:$R$24</definedName>
    <definedName name="Beurteilungstext">Gewaesserbelastung!$A$58:$I$61</definedName>
    <definedName name="DOC">Gewaesserbelastung!$L$8:$P$13</definedName>
    <definedName name="DOCNormal">Gewaesserbelastung!$L$19:$P$24</definedName>
    <definedName name="DOCVorbel">Gewaesserbelastung!$A$12:$A$13</definedName>
    <definedName name="_xlnm.Print_Area" localSheetId="1">Fischzuchtanlage!$D$1:$P$133</definedName>
    <definedName name="_xlnm.Print_Area" localSheetId="4">Kostenabschätzung!$B$2:$I$1048576</definedName>
    <definedName name="Entwässerung">Grundlagen!$R$77:$R$78</definedName>
    <definedName name="Entwässerungstext">Grundlagen!$R$77:$AB$78</definedName>
    <definedName name="EZSee">Grundlagen!$R$240:$R$242</definedName>
    <definedName name="Fisch">'Grundlagen Wirtschaftlichkeit'!$D$142:$D$145</definedName>
    <definedName name="GelP">Gewaesserbelastung!$L$52:$P$57</definedName>
    <definedName name="GesP">Gewaesserbelastung!$L$63:$P$68</definedName>
    <definedName name="kritisch">Gewaesserbelastung!$G$29</definedName>
    <definedName name="MatrixP">Grundlagen!$AV$125:$AX$125</definedName>
    <definedName name="MatrixWG">Grundlagen!$AV$121:$AX$123</definedName>
    <definedName name="NH4N">Gewaesserbelastung!$L$30:$P$35</definedName>
    <definedName name="nicht">Gewaesserbelastung!$G$30</definedName>
    <definedName name="NO3N">Gewaesserbelastung!$L$41:$P$46</definedName>
    <definedName name="P_See">Grundlagen!$R$240:$T$242</definedName>
    <definedName name="PhosphorF">Grundlagen!$R$146:$R$147</definedName>
    <definedName name="PhosphorFText">Grundlagen!$R$146:$AB$147</definedName>
    <definedName name="Preis">'Grundlagen Wirtschaftlichkeit'!$D$142:$S$145</definedName>
    <definedName name="QWasser">Gewaesserbelastung!$A$6:$A$7</definedName>
    <definedName name="Schlamm">Grundlagen!$R$105:$R$108</definedName>
    <definedName name="Schlammtext">Grundlagen!$R$105:$AB$108</definedName>
    <definedName name="Sprachen">Sprachen!$B$2:$B$3</definedName>
    <definedName name="StufeDOCGering">Gewaesserbelastung!$L$75</definedName>
    <definedName name="StufeDOCHoch">Gewaesserbelastung!$L$74</definedName>
    <definedName name="StufeNH4">Gewaesserbelastung!$L$76</definedName>
    <definedName name="StufeNO3">Gewaesserbelastung!$L$77</definedName>
    <definedName name="StufePGel">Gewaesserbelastung!$L$78</definedName>
    <definedName name="StufePges">Gewaesserbelastung!$L$79</definedName>
    <definedName name="Texte">Sprachen!$D$8:$F$202</definedName>
    <definedName name="tragbar">Gewaesserbelastung!$G$28</definedName>
    <definedName name="Vorbeh">Grundlagen!$R$140:$R$142</definedName>
    <definedName name="VorbehText">Grundlagen!$R$140:$AB$142</definedName>
    <definedName name="Z_2A376E74_9008_4CC4_AF78_5E9088D4FA1D_.wvu.Cols" localSheetId="1" hidden="1">Fischzuchtanlage!$B:$C,Fischzuchtanlage!$R:$XFD</definedName>
    <definedName name="Z_2A376E74_9008_4CC4_AF78_5E9088D4FA1D_.wvu.Cols" localSheetId="4" hidden="1">Kostenabschätzung!$K:$XFD</definedName>
    <definedName name="Z_2A376E74_9008_4CC4_AF78_5E9088D4FA1D_.wvu.PrintArea" localSheetId="1" hidden="1">Fischzuchtanlage!$D$1:$P$133</definedName>
    <definedName name="Z_2A376E74_9008_4CC4_AF78_5E9088D4FA1D_.wvu.PrintArea" localSheetId="4" hidden="1">Kostenabschätzung!$B$2:$I$1048576</definedName>
    <definedName name="Z_2A376E74_9008_4CC4_AF78_5E9088D4FA1D_.wvu.Rows" localSheetId="1" hidden="1">Fischzuchtanlage!$155:$1048576,Fischzuchtanlage!$134:$154</definedName>
    <definedName name="Z_2A376E74_9008_4CC4_AF78_5E9088D4FA1D_.wvu.Rows" localSheetId="4" hidden="1">Kostenabschätzung!$273:$1048576,Kostenabschätzung!$65:$272</definedName>
    <definedName name="Zuchtart">Grundlagen!$R$29:$R$30</definedName>
    <definedName name="Zuchttext">Grundlagen!$R$29:$S$30</definedName>
    <definedName name="Zusatzauflagen">Fischzuchtanlage!$F$138:$J$140</definedName>
  </definedNames>
  <calcPr calcId="162913" iterate="1"/>
  <customWorkbookViews>
    <customWorkbookView name="Ausgeblendet" guid="{2A376E74-9008-4CC4-AF78-5E9088D4FA1D}" maximized="1" windowWidth="1916" windowHeight="932" activeSheetId="9"/>
  </customWorkbookViews>
</workbook>
</file>

<file path=xl/calcChain.xml><?xml version="1.0" encoding="utf-8"?>
<calcChain xmlns="http://schemas.openxmlformats.org/spreadsheetml/2006/main">
  <c r="L12" i="9" l="1"/>
  <c r="J140" i="9" l="1"/>
  <c r="I140" i="9"/>
  <c r="H140" i="9"/>
  <c r="F140" i="9"/>
  <c r="J139" i="9"/>
  <c r="I139" i="9"/>
  <c r="H139" i="9"/>
  <c r="G139" i="9"/>
  <c r="F139" i="9"/>
  <c r="J138" i="9"/>
  <c r="I138" i="9"/>
  <c r="H138" i="9"/>
  <c r="G138" i="9"/>
  <c r="F138" i="9"/>
  <c r="F128" i="9"/>
  <c r="F127" i="9"/>
  <c r="F126" i="9"/>
  <c r="F125" i="9"/>
  <c r="F124" i="9"/>
  <c r="F123" i="9"/>
  <c r="F122" i="9"/>
  <c r="F121" i="9"/>
  <c r="F120" i="9"/>
  <c r="F117" i="9"/>
  <c r="F115" i="9"/>
  <c r="F108" i="9"/>
  <c r="B61" i="4"/>
  <c r="B60" i="4"/>
  <c r="B59" i="4"/>
  <c r="B58" i="4"/>
  <c r="B68" i="4"/>
  <c r="B67" i="4"/>
  <c r="B66" i="4"/>
  <c r="B65" i="4"/>
  <c r="B64" i="4" l="1"/>
  <c r="F100" i="9" l="1"/>
  <c r="F99" i="9"/>
  <c r="J96" i="9" l="1"/>
  <c r="I97" i="9"/>
  <c r="I96" i="9"/>
  <c r="F96" i="9"/>
  <c r="G30" i="4"/>
  <c r="G29" i="4"/>
  <c r="G28" i="4"/>
  <c r="N93" i="9"/>
  <c r="L86" i="9"/>
  <c r="J86" i="9"/>
  <c r="I86" i="9"/>
  <c r="H86" i="9"/>
  <c r="G86" i="9"/>
  <c r="AI131" i="2"/>
  <c r="AI130" i="2"/>
  <c r="AI129" i="2"/>
  <c r="AI128" i="2"/>
  <c r="AI127" i="2"/>
  <c r="AI126" i="2"/>
  <c r="AI125" i="2"/>
  <c r="AI124" i="2"/>
  <c r="AI123" i="2"/>
  <c r="J84" i="9"/>
  <c r="F84" i="9"/>
  <c r="S142" i="2"/>
  <c r="S141" i="2"/>
  <c r="S140" i="2"/>
  <c r="R142" i="2"/>
  <c r="R141" i="2"/>
  <c r="R140" i="2"/>
  <c r="S147" i="2"/>
  <c r="R147" i="2"/>
  <c r="S146" i="2"/>
  <c r="R146" i="2"/>
  <c r="F80" i="9"/>
  <c r="F79" i="9"/>
  <c r="F77" i="9"/>
  <c r="A54" i="4"/>
  <c r="A52" i="4"/>
  <c r="A51" i="4"/>
  <c r="A50" i="4"/>
  <c r="A49" i="4"/>
  <c r="A48" i="4"/>
  <c r="I46" i="4"/>
  <c r="H79" i="9" l="1"/>
  <c r="H80" i="9"/>
  <c r="F75" i="9"/>
  <c r="H73" i="9"/>
  <c r="H72" i="9"/>
  <c r="H71" i="9"/>
  <c r="S78" i="2"/>
  <c r="R78" i="2"/>
  <c r="S77" i="2"/>
  <c r="R77" i="2"/>
  <c r="F70" i="9"/>
  <c r="S108" i="2"/>
  <c r="S107" i="2"/>
  <c r="S106" i="2"/>
  <c r="R108" i="2"/>
  <c r="R107" i="2"/>
  <c r="R106" i="2"/>
  <c r="S105" i="2"/>
  <c r="R105" i="2"/>
  <c r="F69" i="9"/>
  <c r="F67" i="9"/>
  <c r="O68" i="4"/>
  <c r="O67" i="4"/>
  <c r="O66" i="4"/>
  <c r="O65" i="4"/>
  <c r="O64" i="4"/>
  <c r="O63" i="4"/>
  <c r="O57" i="4"/>
  <c r="O56" i="4"/>
  <c r="O55" i="4"/>
  <c r="O54" i="4"/>
  <c r="O53" i="4"/>
  <c r="O52" i="4"/>
  <c r="O46" i="4"/>
  <c r="O45" i="4"/>
  <c r="O44" i="4"/>
  <c r="O43" i="4"/>
  <c r="O42" i="4"/>
  <c r="O41" i="4"/>
  <c r="O35" i="4"/>
  <c r="O34" i="4"/>
  <c r="O33" i="4"/>
  <c r="O32" i="4"/>
  <c r="O31" i="4"/>
  <c r="O30" i="4"/>
  <c r="O24" i="4"/>
  <c r="O23" i="4"/>
  <c r="O22" i="4"/>
  <c r="O21" i="4"/>
  <c r="O20" i="4"/>
  <c r="O19" i="4"/>
  <c r="O13" i="4"/>
  <c r="O12" i="4"/>
  <c r="O11" i="4"/>
  <c r="O10" i="4"/>
  <c r="O9" i="4"/>
  <c r="O8" i="4"/>
  <c r="L61" i="9"/>
  <c r="F64" i="9"/>
  <c r="F63" i="9"/>
  <c r="F62" i="9"/>
  <c r="F61" i="9"/>
  <c r="F60" i="9"/>
  <c r="F59" i="9"/>
  <c r="A13" i="4"/>
  <c r="A12" i="4"/>
  <c r="L59" i="9" s="1"/>
  <c r="L58" i="9"/>
  <c r="J58" i="9"/>
  <c r="F57" i="9"/>
  <c r="J54" i="9"/>
  <c r="A7" i="4"/>
  <c r="A6" i="4"/>
  <c r="J53" i="9" s="1"/>
  <c r="F53" i="9"/>
  <c r="F52" i="9"/>
  <c r="F51" i="9"/>
  <c r="F49" i="9"/>
  <c r="M46" i="9"/>
  <c r="M45" i="9"/>
  <c r="M44" i="9"/>
  <c r="L43" i="9"/>
  <c r="F44" i="9"/>
  <c r="I42" i="9"/>
  <c r="L41" i="9"/>
  <c r="F42" i="9"/>
  <c r="I41" i="9"/>
  <c r="F41" i="9"/>
  <c r="F40" i="9"/>
  <c r="M39" i="9"/>
  <c r="F39" i="9"/>
  <c r="F38" i="9"/>
  <c r="F35" i="9"/>
  <c r="F33" i="9"/>
  <c r="M32" i="9"/>
  <c r="F32" i="9"/>
  <c r="I32" i="9"/>
  <c r="L31" i="9"/>
  <c r="F31" i="9"/>
  <c r="F30" i="9"/>
  <c r="L27" i="9"/>
  <c r="I26" i="9"/>
  <c r="F28" i="9"/>
  <c r="F27" i="9"/>
  <c r="F26" i="9"/>
  <c r="F25" i="9"/>
  <c r="F23" i="9"/>
  <c r="S30" i="2"/>
  <c r="S29" i="2"/>
  <c r="R30" i="2"/>
  <c r="R29" i="2"/>
  <c r="F19" i="9"/>
  <c r="U23" i="2"/>
  <c r="U22" i="2"/>
  <c r="S24" i="2"/>
  <c r="S23" i="2"/>
  <c r="S22" i="2"/>
  <c r="R24" i="2"/>
  <c r="R23" i="2"/>
  <c r="R22" i="2"/>
  <c r="F18" i="9"/>
  <c r="H70" i="9" l="1"/>
  <c r="G19" i="9"/>
  <c r="G18" i="9"/>
  <c r="H69" i="9"/>
  <c r="F16" i="9"/>
  <c r="G13" i="9"/>
  <c r="G12" i="9"/>
  <c r="R242" i="2"/>
  <c r="R241" i="2"/>
  <c r="R240" i="2"/>
  <c r="G11" i="9" s="1"/>
  <c r="M11" i="9"/>
  <c r="M10" i="9"/>
  <c r="M9" i="9"/>
  <c r="M8" i="9"/>
  <c r="M7" i="9"/>
  <c r="M6" i="9"/>
  <c r="L5" i="9"/>
  <c r="F11" i="9"/>
  <c r="F10" i="9"/>
  <c r="H9" i="9"/>
  <c r="F9" i="9"/>
  <c r="H8" i="9"/>
  <c r="F8" i="9"/>
  <c r="F7" i="9"/>
  <c r="F6" i="9"/>
  <c r="F4" i="9"/>
  <c r="G2" i="9" l="1"/>
  <c r="C25" i="9" l="1"/>
  <c r="O191" i="5" l="1"/>
  <c r="O192" i="5"/>
  <c r="O193" i="5"/>
  <c r="O194" i="5"/>
  <c r="O195" i="5"/>
  <c r="O190" i="5"/>
  <c r="D190" i="5" l="1"/>
  <c r="E190" i="5" s="1"/>
  <c r="D195" i="5"/>
  <c r="E195" i="5" s="1"/>
  <c r="D194" i="5"/>
  <c r="E194" i="5" s="1"/>
  <c r="D193" i="5"/>
  <c r="E193" i="5" s="1"/>
  <c r="D192" i="5"/>
  <c r="E192" i="5" s="1"/>
  <c r="D191" i="5"/>
  <c r="E191" i="5" s="1"/>
  <c r="X64" i="5"/>
  <c r="X62" i="5"/>
  <c r="X73" i="5" s="1"/>
  <c r="X39" i="5"/>
  <c r="X38" i="5"/>
  <c r="X32" i="5"/>
  <c r="X74" i="5" s="1"/>
  <c r="X33" i="5"/>
  <c r="X41" i="5" s="1"/>
  <c r="X34" i="5"/>
  <c r="X31" i="5"/>
  <c r="W40" i="5" s="1"/>
  <c r="X48" i="5"/>
  <c r="X52" i="5"/>
  <c r="X53" i="5"/>
  <c r="X54" i="5"/>
  <c r="X55" i="5"/>
  <c r="X56" i="5"/>
  <c r="X57" i="5"/>
  <c r="X58" i="5"/>
  <c r="X59" i="5"/>
  <c r="X51" i="5"/>
  <c r="V51" i="5"/>
  <c r="X47" i="5"/>
  <c r="X46" i="5"/>
  <c r="X45" i="5"/>
  <c r="X71" i="5" s="1"/>
  <c r="X44" i="5"/>
  <c r="U145" i="5"/>
  <c r="X49" i="5" l="1"/>
  <c r="X60" i="5"/>
  <c r="X72" i="5"/>
  <c r="X75" i="5"/>
  <c r="X77" i="5" s="1"/>
  <c r="E56" i="10"/>
  <c r="H19" i="10" l="1"/>
  <c r="H15" i="10"/>
  <c r="H16" i="10"/>
  <c r="H17" i="10"/>
  <c r="H18" i="10"/>
  <c r="D9" i="10"/>
  <c r="F94" i="9" l="1"/>
  <c r="F93" i="9"/>
  <c r="F92" i="9"/>
  <c r="F91" i="9"/>
  <c r="F90" i="9"/>
  <c r="F89" i="9"/>
  <c r="F88" i="9"/>
  <c r="F87" i="9"/>
  <c r="C11" i="9" l="1"/>
  <c r="AN9" i="2" l="1"/>
  <c r="J12" i="9"/>
  <c r="C101" i="9" s="1"/>
  <c r="N55" i="4" l="1"/>
  <c r="N54" i="4"/>
  <c r="N53" i="4"/>
  <c r="C31" i="9" l="1"/>
  <c r="L46" i="9"/>
  <c r="H14" i="10" l="1"/>
  <c r="H37" i="10"/>
  <c r="I128" i="9" l="1"/>
  <c r="D10" i="10" l="1"/>
  <c r="F132" i="9" l="1"/>
  <c r="F130" i="9"/>
  <c r="D8" i="10" l="1"/>
  <c r="H44" i="10"/>
  <c r="H43" i="10"/>
  <c r="D42" i="10"/>
  <c r="H42" i="10" s="1"/>
  <c r="H38" i="10"/>
  <c r="H36" i="10"/>
  <c r="H35" i="10"/>
  <c r="H34" i="10"/>
  <c r="H33" i="10"/>
  <c r="H32" i="10"/>
  <c r="H31" i="10"/>
  <c r="H27" i="10"/>
  <c r="D27" i="10"/>
  <c r="H26" i="10"/>
  <c r="D26" i="10"/>
  <c r="H25" i="10"/>
  <c r="D25" i="10"/>
  <c r="H24" i="10"/>
  <c r="D24" i="10"/>
  <c r="E9" i="10" l="1"/>
  <c r="E10" i="10"/>
  <c r="G45" i="10"/>
  <c r="E8" i="10"/>
  <c r="N34" i="5"/>
  <c r="Q64" i="5"/>
  <c r="Q58" i="5"/>
  <c r="H138" i="5"/>
  <c r="H135" i="5"/>
  <c r="H136" i="5" s="1"/>
  <c r="H134" i="5"/>
  <c r="G138" i="5"/>
  <c r="G135" i="5"/>
  <c r="G136" i="5" s="1"/>
  <c r="G134" i="5"/>
  <c r="E138" i="5"/>
  <c r="E135" i="5"/>
  <c r="E136" i="5" s="1"/>
  <c r="E134" i="5"/>
  <c r="P145" i="5"/>
  <c r="L145" i="5"/>
  <c r="L143" i="5"/>
  <c r="M143" i="5" s="1"/>
  <c r="L142" i="5"/>
  <c r="M142" i="5" s="1"/>
  <c r="S63" i="5"/>
  <c r="S34" i="5"/>
  <c r="S64" i="5"/>
  <c r="S62" i="5"/>
  <c r="S59" i="5"/>
  <c r="S58" i="5"/>
  <c r="S57" i="5"/>
  <c r="S56" i="5"/>
  <c r="S55" i="5"/>
  <c r="S54" i="5"/>
  <c r="S53" i="5"/>
  <c r="S52" i="5"/>
  <c r="S51" i="5"/>
  <c r="S47" i="5"/>
  <c r="S46" i="5"/>
  <c r="S71" i="5" s="1"/>
  <c r="S45" i="5"/>
  <c r="S44" i="5"/>
  <c r="S49" i="5" s="1"/>
  <c r="S39" i="5"/>
  <c r="S38" i="5"/>
  <c r="S41" i="5" s="1"/>
  <c r="S33" i="5"/>
  <c r="S32" i="5"/>
  <c r="S31" i="5"/>
  <c r="S60" i="5" l="1"/>
  <c r="S73" i="5"/>
  <c r="S72" i="5"/>
  <c r="S74" i="5"/>
  <c r="R40" i="5"/>
  <c r="H137" i="5" s="1"/>
  <c r="N39" i="5"/>
  <c r="N38" i="5"/>
  <c r="N33" i="5"/>
  <c r="N32" i="5"/>
  <c r="N31" i="5"/>
  <c r="N52" i="5"/>
  <c r="N53" i="5"/>
  <c r="N54" i="5"/>
  <c r="N55" i="5"/>
  <c r="N56" i="5"/>
  <c r="N57" i="5"/>
  <c r="N58" i="5"/>
  <c r="N59" i="5"/>
  <c r="N51" i="5"/>
  <c r="N45" i="5"/>
  <c r="N71" i="5" s="1"/>
  <c r="N46" i="5"/>
  <c r="N47" i="5"/>
  <c r="N44" i="5"/>
  <c r="N64" i="5"/>
  <c r="N62" i="5"/>
  <c r="N72" i="5" l="1"/>
  <c r="N73" i="5"/>
  <c r="S75" i="5"/>
  <c r="S77" i="5" s="1"/>
  <c r="M40" i="5"/>
  <c r="G137" i="5" s="1"/>
  <c r="N74" i="5"/>
  <c r="J42" i="9"/>
  <c r="N75" i="5" l="1"/>
  <c r="N77" i="5" s="1"/>
  <c r="F47" i="4"/>
  <c r="AO21" i="2" l="1"/>
  <c r="AJ121" i="2" s="1"/>
  <c r="AU125" i="2"/>
  <c r="C79" i="9"/>
  <c r="J79" i="9"/>
  <c r="AN21" i="2" l="1"/>
  <c r="C8" i="9"/>
  <c r="C9" i="9"/>
  <c r="C23" i="4" l="1"/>
  <c r="L79" i="4"/>
  <c r="L77" i="4"/>
  <c r="D50" i="4" l="1"/>
  <c r="C50" i="4"/>
  <c r="D52" i="4"/>
  <c r="C52" i="4"/>
  <c r="E23" i="4"/>
  <c r="J63" i="9" s="1"/>
  <c r="C53" i="9"/>
  <c r="C52" i="9"/>
  <c r="C51" i="9"/>
  <c r="C28" i="9"/>
  <c r="C27" i="9"/>
  <c r="C41" i="9"/>
  <c r="C39" i="9"/>
  <c r="C10" i="9"/>
  <c r="C7" i="9"/>
  <c r="C6" i="9"/>
  <c r="F50" i="4" l="1"/>
  <c r="C12" i="9"/>
  <c r="F52" i="4"/>
  <c r="C55" i="9"/>
  <c r="F86" i="9"/>
  <c r="AU122" i="2"/>
  <c r="AU123" i="2"/>
  <c r="AU121" i="2"/>
  <c r="AM103" i="2" l="1"/>
  <c r="AX120" i="2" s="1"/>
  <c r="AR103" i="2"/>
  <c r="AW120" i="2" s="1"/>
  <c r="AK103" i="2"/>
  <c r="AV120" i="2" s="1"/>
  <c r="AO16" i="2"/>
  <c r="AJ119" i="2" s="1"/>
  <c r="AO20" i="2"/>
  <c r="AJ120" i="2" s="1"/>
  <c r="C80" i="9"/>
  <c r="BD68" i="2"/>
  <c r="BD70" i="2"/>
  <c r="BD69" i="2"/>
  <c r="BD71" i="2"/>
  <c r="J80" i="9"/>
  <c r="J69" i="9"/>
  <c r="AK127" i="2" l="1"/>
  <c r="AW129" i="2"/>
  <c r="AK131" i="2"/>
  <c r="AK130" i="2"/>
  <c r="AK129" i="2"/>
  <c r="AK126" i="2"/>
  <c r="AK125" i="2"/>
  <c r="AK124" i="2"/>
  <c r="AK128" i="2"/>
  <c r="AW130" i="2"/>
  <c r="AN20" i="2"/>
  <c r="AX93" i="2"/>
  <c r="AU93" i="2"/>
  <c r="AJ128" i="2" l="1"/>
  <c r="AJ127" i="2"/>
  <c r="AL123" i="2"/>
  <c r="AL127" i="2" s="1"/>
  <c r="AS46" i="2"/>
  <c r="AS45" i="2"/>
  <c r="AL128" i="2" l="1"/>
  <c r="AL129" i="2"/>
  <c r="AL126" i="2"/>
  <c r="AL124" i="2"/>
  <c r="AL125" i="2"/>
  <c r="AL131" i="2"/>
  <c r="AL130" i="2"/>
  <c r="AY10" i="2"/>
  <c r="AU11" i="2"/>
  <c r="AU12" i="2"/>
  <c r="AU13" i="2"/>
  <c r="AU10" i="2"/>
  <c r="AU7" i="2"/>
  <c r="AN14" i="2"/>
  <c r="AK102" i="2" s="1"/>
  <c r="AN13" i="2"/>
  <c r="AN12" i="2"/>
  <c r="AN8" i="2"/>
  <c r="U11" i="2" s="1"/>
  <c r="AN7" i="2"/>
  <c r="U13" i="2" l="1"/>
  <c r="Z43" i="2"/>
  <c r="AN11" i="2"/>
  <c r="T6" i="2"/>
  <c r="U12" i="2" s="1"/>
  <c r="N43" i="4"/>
  <c r="N44" i="4"/>
  <c r="N42" i="4"/>
  <c r="D19" i="4"/>
  <c r="C20" i="4"/>
  <c r="C21" i="4"/>
  <c r="C22" i="4"/>
  <c r="C19" i="4"/>
  <c r="C69" i="9"/>
  <c r="C71" i="9" s="1"/>
  <c r="L39" i="9"/>
  <c r="C70" i="9" l="1"/>
  <c r="AN17" i="2"/>
  <c r="AT26" i="2" s="1"/>
  <c r="AV35" i="2" s="1"/>
  <c r="E22" i="4"/>
  <c r="J62" i="9" s="1"/>
  <c r="E21" i="4"/>
  <c r="AZ12" i="2" s="1"/>
  <c r="E20" i="4"/>
  <c r="AZ11" i="2" s="1"/>
  <c r="E19" i="4"/>
  <c r="J59" i="9" s="1"/>
  <c r="I20" i="9"/>
  <c r="C18" i="9"/>
  <c r="A65" i="4" l="1"/>
  <c r="A69" i="4" s="1"/>
  <c r="A67" i="4"/>
  <c r="A64" i="4"/>
  <c r="A66" i="4"/>
  <c r="E7" i="10"/>
  <c r="E11" i="10" s="1"/>
  <c r="J60" i="9"/>
  <c r="J61" i="9"/>
  <c r="AZ13" i="2"/>
  <c r="AN16" i="2"/>
  <c r="AZ10" i="2"/>
  <c r="T45" i="2"/>
  <c r="J70" i="9"/>
  <c r="I19" i="9"/>
  <c r="I18" i="9"/>
  <c r="C37" i="10" l="1"/>
  <c r="C35" i="10"/>
  <c r="E35" i="10" s="1"/>
  <c r="C27" i="10"/>
  <c r="C24" i="10" s="1"/>
  <c r="C42" i="10"/>
  <c r="G42" i="10" s="1"/>
  <c r="I42" i="10" s="1"/>
  <c r="A70" i="4"/>
  <c r="C110" i="9" s="1"/>
  <c r="C16" i="10"/>
  <c r="G16" i="10" s="1"/>
  <c r="I16" i="10" s="1"/>
  <c r="C43" i="10"/>
  <c r="G43" i="10" s="1"/>
  <c r="I43" i="10" s="1"/>
  <c r="C33" i="10"/>
  <c r="G33" i="10" s="1"/>
  <c r="I33" i="10" s="1"/>
  <c r="C36" i="10"/>
  <c r="G36" i="10" s="1"/>
  <c r="I36" i="10" s="1"/>
  <c r="C17" i="10"/>
  <c r="E17" i="10" s="1"/>
  <c r="E45" i="10"/>
  <c r="C18" i="10"/>
  <c r="G18" i="10" s="1"/>
  <c r="I18" i="10" s="1"/>
  <c r="I45" i="10"/>
  <c r="C19" i="10"/>
  <c r="E19" i="10" s="1"/>
  <c r="C14" i="10"/>
  <c r="E14" i="10" s="1"/>
  <c r="C15" i="10"/>
  <c r="G15" i="10" s="1"/>
  <c r="I15" i="10" s="1"/>
  <c r="C31" i="10"/>
  <c r="E31" i="10" s="1"/>
  <c r="C34" i="10"/>
  <c r="G34" i="10" s="1"/>
  <c r="I34" i="10" s="1"/>
  <c r="C32" i="10"/>
  <c r="E32" i="10" s="1"/>
  <c r="C44" i="10"/>
  <c r="G44" i="10" s="1"/>
  <c r="I44" i="10" s="1"/>
  <c r="L32" i="9"/>
  <c r="J32" i="9" l="1"/>
  <c r="C34" i="9" s="1"/>
  <c r="E42" i="10"/>
  <c r="E37" i="10"/>
  <c r="G37" i="10"/>
  <c r="I37" i="10" s="1"/>
  <c r="E43" i="10"/>
  <c r="E33" i="10"/>
  <c r="E16" i="10"/>
  <c r="C26" i="10"/>
  <c r="G26" i="10" s="1"/>
  <c r="I26" i="10" s="1"/>
  <c r="C25" i="10"/>
  <c r="E25" i="10" s="1"/>
  <c r="G17" i="10"/>
  <c r="I17" i="10" s="1"/>
  <c r="G14" i="10"/>
  <c r="I14" i="10" s="1"/>
  <c r="E18" i="10"/>
  <c r="E15" i="10"/>
  <c r="E36" i="10"/>
  <c r="G31" i="10"/>
  <c r="I31" i="10" s="1"/>
  <c r="G27" i="10"/>
  <c r="I27" i="10" s="1"/>
  <c r="G32" i="10"/>
  <c r="I32" i="10" s="1"/>
  <c r="G35" i="10"/>
  <c r="I35" i="10" s="1"/>
  <c r="G19" i="10"/>
  <c r="I19" i="10" s="1"/>
  <c r="E27" i="10"/>
  <c r="E34" i="10"/>
  <c r="E44" i="10"/>
  <c r="I46" i="10"/>
  <c r="G51" i="10" s="1"/>
  <c r="G24" i="10"/>
  <c r="I24" i="10" s="1"/>
  <c r="E24" i="10"/>
  <c r="N29" i="2"/>
  <c r="O29" i="2"/>
  <c r="I50" i="2"/>
  <c r="L50" i="2" s="1"/>
  <c r="I49" i="2"/>
  <c r="L49" i="2" s="1"/>
  <c r="I48" i="2"/>
  <c r="M48" i="2" s="1"/>
  <c r="M22" i="2"/>
  <c r="M23" i="2"/>
  <c r="M24" i="2"/>
  <c r="M25" i="2"/>
  <c r="M28" i="2"/>
  <c r="M21" i="2"/>
  <c r="C66" i="2"/>
  <c r="C84" i="2"/>
  <c r="C91" i="2" s="1"/>
  <c r="C82" i="2"/>
  <c r="C83" i="2" s="1"/>
  <c r="C81" i="2"/>
  <c r="C89" i="2" s="1"/>
  <c r="AN10" i="2" l="1"/>
  <c r="C32" i="9"/>
  <c r="E46" i="10"/>
  <c r="C51" i="10" s="1"/>
  <c r="E26" i="10"/>
  <c r="E28" i="10" s="1"/>
  <c r="C49" i="10" s="1"/>
  <c r="G25" i="10"/>
  <c r="I25" i="10" s="1"/>
  <c r="I28" i="10" s="1"/>
  <c r="C28" i="10"/>
  <c r="E20" i="10"/>
  <c r="D52" i="10" s="1"/>
  <c r="C52" i="10" s="1"/>
  <c r="I20" i="10"/>
  <c r="H52" i="10" s="1"/>
  <c r="G52" i="10" s="1"/>
  <c r="M50" i="2"/>
  <c r="J48" i="2"/>
  <c r="M49" i="2"/>
  <c r="C90" i="2"/>
  <c r="T46" i="2"/>
  <c r="U51" i="2" s="1"/>
  <c r="AA51" i="2" s="1"/>
  <c r="L48" i="2"/>
  <c r="K50" i="2"/>
  <c r="K49" i="2"/>
  <c r="T51" i="2"/>
  <c r="Z51" i="2" s="1"/>
  <c r="K48" i="2"/>
  <c r="J50" i="2"/>
  <c r="J49" i="2"/>
  <c r="T53" i="2"/>
  <c r="Z53" i="2" s="1"/>
  <c r="AK34" i="2" s="1"/>
  <c r="M29" i="2"/>
  <c r="T50" i="2"/>
  <c r="Z50" i="2" s="1"/>
  <c r="AK31" i="2" s="1"/>
  <c r="AV78" i="2" s="1"/>
  <c r="AX78" i="2" s="1"/>
  <c r="C43" i="9" l="1"/>
  <c r="C104" i="9" s="1"/>
  <c r="U45" i="2"/>
  <c r="W51" i="2" s="1"/>
  <c r="W52" i="2" s="1"/>
  <c r="AN111" i="2"/>
  <c r="AN109" i="2"/>
  <c r="AN108" i="2"/>
  <c r="AN105" i="2"/>
  <c r="AM111" i="2"/>
  <c r="AM109" i="2"/>
  <c r="AM108" i="2"/>
  <c r="AM105" i="2"/>
  <c r="C38" i="10"/>
  <c r="E38" i="10" s="1"/>
  <c r="E39" i="10" s="1"/>
  <c r="C50" i="10" s="1"/>
  <c r="C53" i="10" s="1"/>
  <c r="C54" i="10" s="1"/>
  <c r="AV82" i="2"/>
  <c r="G49" i="10"/>
  <c r="BD80" i="2"/>
  <c r="AK80" i="2"/>
  <c r="BD77" i="2"/>
  <c r="AK77" i="2"/>
  <c r="AL32" i="2"/>
  <c r="AW91" i="2" s="1"/>
  <c r="Z52" i="2"/>
  <c r="AK33" i="2" s="1"/>
  <c r="AK79" i="2" s="1"/>
  <c r="AK32" i="2"/>
  <c r="T52" i="2"/>
  <c r="U50" i="2"/>
  <c r="AA50" i="2" s="1"/>
  <c r="AL31" i="2" s="1"/>
  <c r="BD94" i="2" s="1"/>
  <c r="U54" i="2"/>
  <c r="AA54" i="2" s="1"/>
  <c r="AL35" i="2" s="1"/>
  <c r="U53" i="2"/>
  <c r="AA53" i="2" s="1"/>
  <c r="AL34" i="2" s="1"/>
  <c r="AV91" i="2" s="1"/>
  <c r="AC51" i="2" l="1"/>
  <c r="AN32" i="2" s="1"/>
  <c r="AY79" i="2" s="1"/>
  <c r="AY80" i="2" s="1"/>
  <c r="U46" i="2"/>
  <c r="X54" i="2" s="1"/>
  <c r="AD54" i="2" s="1"/>
  <c r="AO35" i="2" s="1"/>
  <c r="AO38" i="2" s="1"/>
  <c r="AO39" i="2" s="1"/>
  <c r="W50" i="2"/>
  <c r="AC50" i="2" s="1"/>
  <c r="AN31" i="2" s="1"/>
  <c r="AY78" i="2" s="1"/>
  <c r="BA78" i="2" s="1"/>
  <c r="W53" i="2"/>
  <c r="AC53" i="2" s="1"/>
  <c r="AN34" i="2" s="1"/>
  <c r="BG80" i="2" s="1"/>
  <c r="G38" i="10"/>
  <c r="I38" i="10" s="1"/>
  <c r="I39" i="10" s="1"/>
  <c r="G50" i="10" s="1"/>
  <c r="G53" i="10" s="1"/>
  <c r="G54" i="10" s="1"/>
  <c r="AU94" i="2"/>
  <c r="AV94" i="2"/>
  <c r="BF94" i="2"/>
  <c r="AW94" i="2"/>
  <c r="BA48" i="2"/>
  <c r="BF92" i="2" s="1"/>
  <c r="AZ48" i="2"/>
  <c r="BE78" i="2" s="1"/>
  <c r="AZ50" i="2"/>
  <c r="BE80" i="2" s="1"/>
  <c r="BE90" i="2" s="1"/>
  <c r="BA50" i="2"/>
  <c r="BE92" i="2" s="1"/>
  <c r="BA47" i="2"/>
  <c r="BD92" i="2" s="1"/>
  <c r="AZ47" i="2"/>
  <c r="BE77" i="2" s="1"/>
  <c r="BF77" i="2" s="1"/>
  <c r="AR105" i="2" s="1"/>
  <c r="BE94" i="2"/>
  <c r="AT51" i="2"/>
  <c r="AW92" i="2" s="1"/>
  <c r="AS51" i="2"/>
  <c r="AW79" i="2" s="1"/>
  <c r="AW80" i="2" s="1"/>
  <c r="AS50" i="2"/>
  <c r="AW82" i="2" s="1"/>
  <c r="AX82" i="2" s="1"/>
  <c r="AT50" i="2"/>
  <c r="AV92" i="2" s="1"/>
  <c r="BD78" i="2"/>
  <c r="AK78" i="2"/>
  <c r="AV79" i="2"/>
  <c r="AM94" i="2"/>
  <c r="AL94" i="2"/>
  <c r="AL38" i="2"/>
  <c r="AL39" i="2" s="1"/>
  <c r="AK82" i="2"/>
  <c r="AL82" i="2" s="1"/>
  <c r="AK94" i="2"/>
  <c r="G64" i="5"/>
  <c r="I64" i="5" s="1"/>
  <c r="I63" i="5"/>
  <c r="I62" i="5"/>
  <c r="I56" i="5"/>
  <c r="I55" i="5"/>
  <c r="I54" i="5"/>
  <c r="I53" i="5"/>
  <c r="I52" i="5"/>
  <c r="I51" i="5"/>
  <c r="I45" i="5"/>
  <c r="I46" i="5"/>
  <c r="I47" i="5"/>
  <c r="I44" i="5"/>
  <c r="I39" i="5"/>
  <c r="I38" i="5"/>
  <c r="I32" i="5"/>
  <c r="I33" i="5"/>
  <c r="I34" i="5"/>
  <c r="I31" i="5"/>
  <c r="E39" i="5"/>
  <c r="E38" i="5"/>
  <c r="E32" i="5"/>
  <c r="E33" i="5"/>
  <c r="E34" i="5"/>
  <c r="E35" i="5"/>
  <c r="E31" i="5"/>
  <c r="E68" i="5"/>
  <c r="E67" i="5"/>
  <c r="E73" i="5" s="1"/>
  <c r="E66" i="5"/>
  <c r="E64" i="5"/>
  <c r="E63" i="5"/>
  <c r="E62" i="5"/>
  <c r="E56" i="5"/>
  <c r="E55" i="5"/>
  <c r="E54" i="5"/>
  <c r="E53" i="5"/>
  <c r="E52" i="5"/>
  <c r="E51" i="5"/>
  <c r="E47" i="5"/>
  <c r="E46" i="5"/>
  <c r="E45" i="5"/>
  <c r="E44" i="5"/>
  <c r="E72" i="5" l="1"/>
  <c r="E71" i="5"/>
  <c r="BG78" i="2"/>
  <c r="AN78" i="2"/>
  <c r="AC52" i="2"/>
  <c r="AN33" i="2" s="1"/>
  <c r="AN79" i="2" s="1"/>
  <c r="X51" i="2"/>
  <c r="AD51" i="2" s="1"/>
  <c r="AO32" i="2" s="1"/>
  <c r="AZ91" i="2" s="1"/>
  <c r="AN77" i="2"/>
  <c r="X50" i="2"/>
  <c r="AD50" i="2" s="1"/>
  <c r="AO31" i="2" s="1"/>
  <c r="BC47" i="2" s="1"/>
  <c r="BH77" i="2" s="1"/>
  <c r="BG77" i="2"/>
  <c r="AN80" i="2"/>
  <c r="AN82" i="2"/>
  <c r="X53" i="2"/>
  <c r="AD53" i="2" s="1"/>
  <c r="AO34" i="2" s="1"/>
  <c r="AO94" i="2" s="1"/>
  <c r="AY82" i="2"/>
  <c r="E74" i="5"/>
  <c r="E75" i="5" s="1"/>
  <c r="E77" i="5" s="1"/>
  <c r="D40" i="5"/>
  <c r="I71" i="5"/>
  <c r="I74" i="5"/>
  <c r="I73" i="5"/>
  <c r="I72" i="5"/>
  <c r="AV90" i="2"/>
  <c r="AV93" i="2" s="1"/>
  <c r="AM110" i="2"/>
  <c r="BD90" i="2"/>
  <c r="BD93" i="2" s="1"/>
  <c r="BF90" i="2"/>
  <c r="BF93" i="2" s="1"/>
  <c r="BF78" i="2"/>
  <c r="AR106" i="2" s="1"/>
  <c r="AM91" i="2"/>
  <c r="AK114" i="2" s="1"/>
  <c r="AK91" i="2"/>
  <c r="AK112" i="2" s="1"/>
  <c r="AL91" i="2"/>
  <c r="AM82" i="2"/>
  <c r="AX79" i="2"/>
  <c r="AW90" i="2" s="1"/>
  <c r="AW93" i="2" s="1"/>
  <c r="AV80" i="2"/>
  <c r="AX80" i="2" s="1"/>
  <c r="AM106" i="2" s="1"/>
  <c r="AM107" i="2" s="1"/>
  <c r="H40" i="5"/>
  <c r="E137" i="5" s="1"/>
  <c r="L78" i="4"/>
  <c r="L76" i="4"/>
  <c r="L75" i="4"/>
  <c r="L74" i="4"/>
  <c r="C145" i="2"/>
  <c r="C144" i="2"/>
  <c r="C143" i="2"/>
  <c r="AZ94" i="2" l="1"/>
  <c r="BD48" i="2"/>
  <c r="AP91" i="2"/>
  <c r="AL114" i="2" s="1"/>
  <c r="AW51" i="2"/>
  <c r="AZ92" i="2" s="1"/>
  <c r="BC48" i="2"/>
  <c r="BH78" i="2" s="1"/>
  <c r="BI78" i="2" s="1"/>
  <c r="AS106" i="2" s="1"/>
  <c r="AS107" i="2" s="1"/>
  <c r="AV51" i="2"/>
  <c r="AZ79" i="2" s="1"/>
  <c r="AZ80" i="2" s="1"/>
  <c r="BA80" i="2" s="1"/>
  <c r="AN106" i="2" s="1"/>
  <c r="AN107" i="2" s="1"/>
  <c r="AP94" i="2"/>
  <c r="AX94" i="2"/>
  <c r="AY91" i="2"/>
  <c r="AN94" i="2"/>
  <c r="BI77" i="2"/>
  <c r="AS105" i="2" s="1"/>
  <c r="BD47" i="2"/>
  <c r="AN91" i="2"/>
  <c r="AL112" i="2" s="1"/>
  <c r="AO82" i="2"/>
  <c r="AR82" i="2" s="1"/>
  <c r="AL111" i="2" s="1"/>
  <c r="AN130" i="2" s="1"/>
  <c r="AP130" i="2" s="1"/>
  <c r="AO91" i="2"/>
  <c r="BC50" i="2"/>
  <c r="BH80" i="2" s="1"/>
  <c r="BI80" i="2" s="1"/>
  <c r="AS110" i="2" s="1"/>
  <c r="BD50" i="2"/>
  <c r="AV50" i="2"/>
  <c r="AZ82" i="2" s="1"/>
  <c r="BA82" i="2" s="1"/>
  <c r="AN110" i="2" s="1"/>
  <c r="AY94" i="2"/>
  <c r="AW50" i="2"/>
  <c r="AY92" i="2" s="1"/>
  <c r="D48" i="4"/>
  <c r="C48" i="4"/>
  <c r="D49" i="4"/>
  <c r="C49" i="4"/>
  <c r="D51" i="4"/>
  <c r="C51" i="4"/>
  <c r="I75" i="5"/>
  <c r="I77" i="5" s="1"/>
  <c r="AR107" i="2"/>
  <c r="BF80" i="2"/>
  <c r="AK111" i="2"/>
  <c r="AM130" i="2" s="1"/>
  <c r="F49" i="4" l="1"/>
  <c r="F51" i="4"/>
  <c r="BA79" i="2"/>
  <c r="AZ90" i="2" s="1"/>
  <c r="AZ93" i="2" s="1"/>
  <c r="AY90" i="2"/>
  <c r="AY93" i="2" s="1"/>
  <c r="AS130" i="2"/>
  <c r="G93" i="9" s="1"/>
  <c r="L93" i="9" s="1"/>
  <c r="AO130" i="2"/>
  <c r="F48" i="4"/>
  <c r="BE93" i="2"/>
  <c r="AR110" i="2"/>
  <c r="G54" i="4" l="1"/>
  <c r="AR130" i="2"/>
  <c r="C93" i="9" s="1"/>
  <c r="AN18" i="2"/>
  <c r="BA26" i="2" s="1"/>
  <c r="BB32" i="2" l="1"/>
  <c r="BB34" i="2"/>
  <c r="BB31" i="2"/>
  <c r="AN50" i="2" l="1"/>
  <c r="AK50" i="2"/>
  <c r="AN47" i="2"/>
  <c r="AK47" i="2"/>
  <c r="AN48" i="2"/>
  <c r="AK48" i="2"/>
  <c r="AL80" i="2" l="1"/>
  <c r="AL50" i="2"/>
  <c r="AL92" i="2" s="1"/>
  <c r="AO48" i="2"/>
  <c r="AP92" i="2" s="1"/>
  <c r="AO78" i="2"/>
  <c r="AR78" i="2" s="1"/>
  <c r="AN49" i="2"/>
  <c r="AO79" i="2" s="1"/>
  <c r="AR79" i="2" s="1"/>
  <c r="AL109" i="2" s="1"/>
  <c r="AN124" i="2" s="1"/>
  <c r="AL77" i="2"/>
  <c r="AM77" i="2" s="1"/>
  <c r="AL47" i="2"/>
  <c r="AK92" i="2" s="1"/>
  <c r="AO77" i="2"/>
  <c r="AR77" i="2" s="1"/>
  <c r="AO47" i="2"/>
  <c r="AN92" i="2" s="1"/>
  <c r="AL48" i="2"/>
  <c r="AM92" i="2" s="1"/>
  <c r="AL78" i="2"/>
  <c r="AM78" i="2" s="1"/>
  <c r="AK49" i="2"/>
  <c r="AL79" i="2" s="1"/>
  <c r="AM79" i="2" s="1"/>
  <c r="AK109" i="2" s="1"/>
  <c r="AM124" i="2" s="1"/>
  <c r="AO80" i="2"/>
  <c r="AO50" i="2"/>
  <c r="AO92" i="2" s="1"/>
  <c r="AO124" i="2" l="1"/>
  <c r="AP124" i="2"/>
  <c r="AR80" i="2"/>
  <c r="AL110" i="2" s="1"/>
  <c r="AR81" i="2"/>
  <c r="AL113" i="2" s="1"/>
  <c r="AM80" i="2"/>
  <c r="AK110" i="2" s="1"/>
  <c r="AM81" i="2"/>
  <c r="AK113" i="2" s="1"/>
  <c r="AL106" i="2"/>
  <c r="AP90" i="2"/>
  <c r="AP93" i="2" s="1"/>
  <c r="AL105" i="2"/>
  <c r="AN131" i="2" s="1"/>
  <c r="AP131" i="2" s="1"/>
  <c r="AS131" i="2" s="1"/>
  <c r="AN90" i="2"/>
  <c r="AN93" i="2" s="1"/>
  <c r="AM90" i="2"/>
  <c r="AM93" i="2" s="1"/>
  <c r="AK106" i="2"/>
  <c r="AK90" i="2"/>
  <c r="AK93" i="2" s="1"/>
  <c r="AK105" i="2"/>
  <c r="AM131" i="2" s="1"/>
  <c r="AO131" i="2" s="1"/>
  <c r="AR131" i="2" s="1"/>
  <c r="AM134" i="2" l="1"/>
  <c r="AM127" i="2" s="1"/>
  <c r="AO127" i="2" s="1"/>
  <c r="AM135" i="2"/>
  <c r="AM128" i="2" s="1"/>
  <c r="AO128" i="2" s="1"/>
  <c r="AN134" i="2"/>
  <c r="AN127" i="2" s="1"/>
  <c r="AP127" i="2" s="1"/>
  <c r="AN135" i="2"/>
  <c r="AN128" i="2" s="1"/>
  <c r="AP128" i="2" s="1"/>
  <c r="AS124" i="2"/>
  <c r="G88" i="9" s="1"/>
  <c r="C38" i="4" s="1"/>
  <c r="AR124" i="2"/>
  <c r="C88" i="9" s="1"/>
  <c r="AO90" i="2"/>
  <c r="AO93" i="2" s="1"/>
  <c r="AL90" i="2"/>
  <c r="AL93" i="2" s="1"/>
  <c r="AK107" i="2"/>
  <c r="AM125" i="2" s="1"/>
  <c r="AM126" i="2"/>
  <c r="AN126" i="2"/>
  <c r="AL107" i="2"/>
  <c r="AN125" i="2" s="1"/>
  <c r="C87" i="9"/>
  <c r="AM129" i="2"/>
  <c r="G87" i="9"/>
  <c r="C37" i="4" s="1"/>
  <c r="AN129" i="2"/>
  <c r="C28" i="4" l="1"/>
  <c r="H87" i="9" s="1"/>
  <c r="I87" i="9"/>
  <c r="C29" i="4"/>
  <c r="H88" i="9" s="1"/>
  <c r="I88" i="9"/>
  <c r="AP126" i="2"/>
  <c r="AO129" i="2"/>
  <c r="AO126" i="2"/>
  <c r="AO125" i="2"/>
  <c r="AP129" i="2"/>
  <c r="AP125" i="2"/>
  <c r="AR128" i="2"/>
  <c r="AR127" i="2"/>
  <c r="AS128" i="2"/>
  <c r="AS127" i="2"/>
  <c r="G48" i="4" l="1"/>
  <c r="D29" i="4"/>
  <c r="L88" i="9" s="1"/>
  <c r="G49" i="4"/>
  <c r="D38" i="4"/>
  <c r="J88" i="9" s="1"/>
  <c r="AS129" i="2"/>
  <c r="G94" i="9" s="1"/>
  <c r="H94" i="9" s="1"/>
  <c r="AS126" i="2"/>
  <c r="G90" i="9" s="1"/>
  <c r="H90" i="9" s="1"/>
  <c r="AR125" i="2"/>
  <c r="C89" i="9" s="1"/>
  <c r="AR126" i="2"/>
  <c r="C90" i="9" s="1"/>
  <c r="AS125" i="2"/>
  <c r="G89" i="9" s="1"/>
  <c r="C39" i="4" s="1"/>
  <c r="AR129" i="2"/>
  <c r="C94" i="9" s="1"/>
  <c r="C92" i="9"/>
  <c r="AK144" i="2"/>
  <c r="C97" i="9" s="1"/>
  <c r="C91" i="9"/>
  <c r="AK143" i="2"/>
  <c r="C96" i="9" s="1"/>
  <c r="G91" i="9"/>
  <c r="C40" i="4" s="1"/>
  <c r="AL143" i="2"/>
  <c r="H96" i="9" s="1"/>
  <c r="G92" i="9"/>
  <c r="C41" i="4" s="1"/>
  <c r="AL144" i="2"/>
  <c r="H97" i="9" s="1"/>
  <c r="D28" i="4"/>
  <c r="L87" i="9" s="1"/>
  <c r="D37" i="4"/>
  <c r="J87" i="9" s="1"/>
  <c r="C31" i="4" l="1"/>
  <c r="H91" i="9" s="1"/>
  <c r="I91" i="9"/>
  <c r="C32" i="4"/>
  <c r="H92" i="9" s="1"/>
  <c r="I92" i="9"/>
  <c r="C30" i="4"/>
  <c r="I89" i="9"/>
  <c r="AK149" i="2"/>
  <c r="C100" i="9" s="1"/>
  <c r="C102" i="9" s="1"/>
  <c r="G140" i="9" s="1"/>
  <c r="AK148" i="2"/>
  <c r="C99" i="9" s="1"/>
  <c r="D41" i="4" l="1"/>
  <c r="J92" i="9" s="1"/>
  <c r="D40" i="4"/>
  <c r="J91" i="9" s="1"/>
  <c r="D32" i="4"/>
  <c r="L92" i="9" s="1"/>
  <c r="D31" i="4"/>
  <c r="L91" i="9" s="1"/>
  <c r="G51" i="4"/>
  <c r="D30" i="4"/>
  <c r="H89" i="9"/>
  <c r="D39" i="4"/>
  <c r="J89" i="9" s="1"/>
  <c r="G52" i="4"/>
  <c r="G50" i="4"/>
  <c r="F129" i="9"/>
  <c r="F131" i="9"/>
  <c r="L89" i="9" l="1"/>
  <c r="C106" i="9" l="1"/>
  <c r="C108" i="9"/>
  <c r="C107" i="9"/>
  <c r="C109" i="9" l="1"/>
  <c r="F104" i="9"/>
  <c r="F102" i="9"/>
  <c r="F106" i="9"/>
  <c r="F103" i="9"/>
  <c r="F105" i="9"/>
  <c r="A61" i="4" l="1"/>
  <c r="A59" i="4"/>
  <c r="A58" i="4"/>
  <c r="A60" i="4"/>
  <c r="F109" i="9" l="1"/>
</calcChain>
</file>

<file path=xl/sharedStrings.xml><?xml version="1.0" encoding="utf-8"?>
<sst xmlns="http://schemas.openxmlformats.org/spreadsheetml/2006/main" count="2020" uniqueCount="1375">
  <si>
    <t>Sie planen eine Fischzuchtanlage?</t>
  </si>
  <si>
    <r>
      <t xml:space="preserve">Mit diesem Excel-Arbeitsblatt können Sie die Belastung des Gewässers durch die Anlage </t>
    </r>
    <r>
      <rPr>
        <b/>
        <sz val="10"/>
        <rFont val="Arial"/>
        <family val="2"/>
      </rPr>
      <t>abschätzen</t>
    </r>
    <r>
      <rPr>
        <sz val="10"/>
        <rFont val="Arial"/>
        <family val="2"/>
      </rPr>
      <t>.</t>
    </r>
  </si>
  <si>
    <t>Diese Abschätzung ist eine Planungshilfe für die gewässerschutzrechtliche Beurteilung und ist zusammen mit den Baugesuchsunterlagen einzureichen.</t>
  </si>
  <si>
    <t>Die Gewässerschutzverordnung schreibt für Fischzuchtanlagen vor, dass:</t>
  </si>
  <si>
    <t>nur phosphorarmes Futter verwendet werden darf</t>
  </si>
  <si>
    <t>die Anlagen nach den Anordnungen der Behörde entschlammt werden müssen</t>
  </si>
  <si>
    <t>das aus der Anlage abfliessende Wasser höchstens 20 mg/l ungelöste Stoffe enthalten darf</t>
  </si>
  <si>
    <t>dass die Behörde die Anforderungen im Einzelfall festlegt, wenn Medikamente oder andere Stoffe (z.B. Desinfektionsmittel) verwendet werden, die das Gewässer verunreinigen können.</t>
  </si>
  <si>
    <t>Anforderungen an die Einleitung:</t>
  </si>
  <si>
    <t>Wenn keine Daten zum Vorfluter vorliegen, darf höchsten ein halber Stufenanstieg erfolgen.</t>
  </si>
  <si>
    <t>Bei einer landwirtschaftlichen Verwertung des Schlammes fliessen die enthaltenen Düngestoffe in die Nährstoffbilanz ein. Setzen Sie sich dazu mit dem lawa in Verbindung.</t>
  </si>
  <si>
    <t>Die Einleitung in ein Gewässer würde zu einer Sauerstoffzehrung oder aufgrund der gebildeten Stoff wie Nitrit oder Ammonium/Ammoniak zu einem Fischsterben führen.</t>
  </si>
  <si>
    <t>Die Einleitung in ein Gewässer ist daher verboten.</t>
  </si>
  <si>
    <t>Anfallendes Abwasser mit Desinfektionsmittel muss in die Schmutzwasserkanalisation eingeleitet werden.</t>
  </si>
  <si>
    <t>Aus Sicht des Gewässerschutzes empfehlen wir die Verwendung von Peroxiden zur Desinfektion. Diese werden rasch abgebaut.</t>
  </si>
  <si>
    <t>Aus einem Gewässer darf nicht einfach Wasser in eine Fischzuchtanlage abgeleitet werden. Dafür müssen Sie bei der Dienststelle uwe eine Entnahmebewilligung</t>
  </si>
  <si>
    <t>beantragen. Bei grösseren Wassermengen ist sogar eine Konzession notwendig.</t>
  </si>
  <si>
    <t>Auch die Einleitung von Wasser aus einer Fischzuchtanlage in ein Gewässer ist bewilligungspflichtig. Die Einleitbewilligung können Sie bei der Dienststelle uwe beantragen.</t>
  </si>
  <si>
    <t>Fischereigesetzgebung:</t>
  </si>
  <si>
    <t>Für eine Fischzuchtanlage ist eine fischereirechtliche Bewilligung notwendig (lawa).</t>
  </si>
  <si>
    <t>Aus Fischzuchtanlagen dürfen keine standortfremde Tiere entweichen.</t>
  </si>
  <si>
    <t>Fischzuchtanlagen müssen daher mit Einrichtungen ausgerüstet sein, die das Entweichen von Fischen verhindern. Die entsprechenden Unterlagen und Pläne müssen mit dem Gesuch eingereicht werden.</t>
  </si>
  <si>
    <t>Fischzucht ist kein Hobby. Fischzucht verlangt viel Wissen und Erfahrung. Die Betreiber von kommerziellen Fischzuchten müssen daher entsprechende Ausbildungskurse besuchen.</t>
  </si>
  <si>
    <t>Hinweis auf die Tierschutzverordnung:</t>
  </si>
  <si>
    <t>Die Tierschutzverordnung enthält verschiedene Bestimmungen, welche auch für die kommerzielle Fischzucht gelten. Klären Sie die Anforderungen für Ihren Fall unbedingt ab.</t>
  </si>
  <si>
    <t>Weiterhin ist auch die Tabelle 7 im Anhang 2 der Tierschutzverordnung massgebend, hier werden die Mindestanforderungen für das Halten und an den Transport von Speise- und Besatzfischen</t>
  </si>
  <si>
    <t>festgelegt (Anforderungen an die Wasserqualität und die Besatzdichte)</t>
  </si>
  <si>
    <t>Diese Auswertung ist nur eine erste grobe Abklärung. Die tatsächlichen Verhältnisse können davon abweichen. Sie können daher keine Rechte aus dieser Auswertung ableiten.</t>
  </si>
  <si>
    <t>Dieses Hilfsmittel wird laufend verbessert. Speichern Sie dieses Hilfsmittel nicht, sondern benutzen Sie jeweils die aktuelle Version auf unserer Homepage.</t>
  </si>
  <si>
    <t>Dieses Hilfsmittel ist kein Planungsinstrument für eine Fischzucht, sondern dient ausschliesslich der Abschätzung der Belastung des Abwassers/Gewässers.</t>
  </si>
  <si>
    <t>Es wird keinerlei Haftung übernommen.</t>
  </si>
  <si>
    <t>Dieses Hilfsmittel ist Eigentum des uwe Luzern</t>
  </si>
  <si>
    <t>Futterqoutient</t>
  </si>
  <si>
    <t>Energiegehalt</t>
  </si>
  <si>
    <t>Futterverlust</t>
  </si>
  <si>
    <t>kg Futter pro kg Fischzuwachs</t>
  </si>
  <si>
    <t>MJ/kg</t>
  </si>
  <si>
    <t>P-Gehalt</t>
  </si>
  <si>
    <t>%</t>
  </si>
  <si>
    <t>Fütterungsmengen</t>
  </si>
  <si>
    <t>% des Fischgewichtes pro Tag</t>
  </si>
  <si>
    <t xml:space="preserve">Literatur </t>
  </si>
  <si>
    <t>Bericht, Gewässerschutz in kommerziellen Fischzuchtanstalten mit Durchlaufanlagen GSA-Bulletin 0208</t>
  </si>
  <si>
    <t>Forellen</t>
  </si>
  <si>
    <t>Forelle, Saibling, Aesche, Barsch</t>
  </si>
  <si>
    <t>Forelle, Saibling, Aesche, Wels, Stör</t>
  </si>
  <si>
    <t>Forelle Saibling, Aesche</t>
  </si>
  <si>
    <t>Karpfen</t>
  </si>
  <si>
    <t>AquaGarant Fischprospekt</t>
  </si>
  <si>
    <t>Stör</t>
  </si>
  <si>
    <t>Landi Pilatus AG</t>
  </si>
  <si>
    <t>Literatur Nr.</t>
  </si>
  <si>
    <t>es kann somit grob mit folgenden Faktoren gerechnet werden:</t>
  </si>
  <si>
    <t>Die Phosphorgehalte des Fischfutters liegen alle um 1 %</t>
  </si>
  <si>
    <t>Verteilung des Phosphors aus dem eingesetzten Fischfutter</t>
  </si>
  <si>
    <t>vom Fisch aufgenommen</t>
  </si>
  <si>
    <t>vom Fisch ausgeschieden</t>
  </si>
  <si>
    <t>davon vom Fisch inkorporiert</t>
  </si>
  <si>
    <t>vom Ausgeschiedenen gelöst</t>
  </si>
  <si>
    <t>vom Ausgeschiedenen partikulär</t>
  </si>
  <si>
    <t>Verteilung des Stickstoffs aus dem eingesetzten Fischfutter</t>
  </si>
  <si>
    <t>Literatur Nr. 4</t>
  </si>
  <si>
    <t>Bericht zur Fischereiforschung Baden-Württemberg Heft 8, Ablaufwasser aus Forellenzucht</t>
  </si>
  <si>
    <t>kg aus 1 Tonne Salmonidenfutter</t>
  </si>
  <si>
    <t>im eingesetzten Fischfutter</t>
  </si>
  <si>
    <t>Menge an ausgeschiedenen Stoffen pro 100 kg Forellenfutter</t>
  </si>
  <si>
    <t>Parameter</t>
  </si>
  <si>
    <t>kg/100 kg Futter</t>
  </si>
  <si>
    <t>Stickstoff gelöst</t>
  </si>
  <si>
    <t>Stickstoff gebunden</t>
  </si>
  <si>
    <t>Stickstoff gesamt</t>
  </si>
  <si>
    <t>Phosphor gelöst</t>
  </si>
  <si>
    <t>Phosphor gesamt</t>
  </si>
  <si>
    <t>BSB5</t>
  </si>
  <si>
    <t>Schlammabtrennung</t>
  </si>
  <si>
    <t>Absetzbecken</t>
  </si>
  <si>
    <t>Reinigungsleistung Mikrosieb mit 60 - 100 mikroMeter Maschenweite</t>
  </si>
  <si>
    <t>Abfiltrierbare Stoffe</t>
  </si>
  <si>
    <t>Gesamtphosphor</t>
  </si>
  <si>
    <t>50-95 %</t>
  </si>
  <si>
    <t>30- 80 %</t>
  </si>
  <si>
    <t>Gesamtstickstoff</t>
  </si>
  <si>
    <t>10-30%</t>
  </si>
  <si>
    <t>21-80%</t>
  </si>
  <si>
    <t>bez. homogenisierter Probe</t>
  </si>
  <si>
    <t>Ablaufwasserbelastung in Abhängigkeit von der verdaulichen Energie (Literatur Nr. 4)</t>
  </si>
  <si>
    <t>Verdauliche Energie MJ/kg</t>
  </si>
  <si>
    <t>Gesamt-Stickstoff</t>
  </si>
  <si>
    <t>Flachfilter</t>
  </si>
  <si>
    <t>Trommelfilter</t>
  </si>
  <si>
    <t>GUS</t>
  </si>
  <si>
    <t>Intensitätsstufe I</t>
  </si>
  <si>
    <t>Intensitätsstufe II</t>
  </si>
  <si>
    <t>Intensitätsstufe I//</t>
  </si>
  <si>
    <t>kg</t>
  </si>
  <si>
    <t>&gt;500</t>
  </si>
  <si>
    <t>Futtermittelverbrauch je l/s Zulaufwasser</t>
  </si>
  <si>
    <t>kg (Absetz und Filteranlagen notwendig)</t>
  </si>
  <si>
    <t>Intensitätsstufen bei Teichanlagen (Forellen)</t>
  </si>
  <si>
    <t>Literatur Nr. 5</t>
  </si>
  <si>
    <t>Empfehlungen für Bau und Betrieb von Fischteichen, Juni 2001, Bayrisches Landesamt für Wasserwirtschaft</t>
  </si>
  <si>
    <t>Anmerkung: Schlamm muss in einem Absetzbecken abgetrennt werden. Der Überstand muss in den Filter zurückgeführt werden</t>
  </si>
  <si>
    <t>Eckdaten Kreislaufanlagen</t>
  </si>
  <si>
    <t>Fischart</t>
  </si>
  <si>
    <t>Tilapia</t>
  </si>
  <si>
    <t>Jahresproduktion 10 Tonnen</t>
  </si>
  <si>
    <t>Wasservolumen m3</t>
  </si>
  <si>
    <t>Frischwasserbedarf m3/Tag</t>
  </si>
  <si>
    <t>Düngeranfall DGVE</t>
  </si>
  <si>
    <t>Literatur 6</t>
  </si>
  <si>
    <t>Vortrag Fischzucht im Stall, ZHAW vom April 2012 am Fischforum</t>
  </si>
  <si>
    <t>Investitionskosten</t>
  </si>
  <si>
    <t>Mastdauer</t>
  </si>
  <si>
    <t>Monate</t>
  </si>
  <si>
    <t>9-18</t>
  </si>
  <si>
    <t>Produktion</t>
  </si>
  <si>
    <t>t/a</t>
  </si>
  <si>
    <t>Volumen Becken</t>
  </si>
  <si>
    <t>Literatur Nr. 6</t>
  </si>
  <si>
    <t>m3</t>
  </si>
  <si>
    <t>Filterbecken</t>
  </si>
  <si>
    <t>Abschreibung auf</t>
  </si>
  <si>
    <t>a</t>
  </si>
  <si>
    <t>Arbeitsaufwand</t>
  </si>
  <si>
    <t>h/a</t>
  </si>
  <si>
    <t>Arbeitskosten</t>
  </si>
  <si>
    <t>CHF/h</t>
  </si>
  <si>
    <t>Austauschwasser</t>
  </si>
  <si>
    <t>Nährstoffaustrag</t>
  </si>
  <si>
    <t>DGVE/1000 kg Fischproduktion</t>
  </si>
  <si>
    <t>Produktspezifische Arbeiten</t>
  </si>
  <si>
    <t>Fische füttern, Kontrolle</t>
  </si>
  <si>
    <t>Fische abfischen, töten je 400 kg</t>
  </si>
  <si>
    <t>Diverse Arbeiten</t>
  </si>
  <si>
    <t>Fischtransporte</t>
  </si>
  <si>
    <t>Vermarktung</t>
  </si>
  <si>
    <t>Projektspezifische Arbeiten</t>
  </si>
  <si>
    <t>Technischer Unterhalt, Wasseranalytik</t>
  </si>
  <si>
    <t>Administration, Weiterbildung</t>
  </si>
  <si>
    <t xml:space="preserve">Stunden je Einheit </t>
  </si>
  <si>
    <t>Vortrag Fische mögens warm, zhaw, Tagung Algen ins Netz, 25.11.2010, Ittingen</t>
  </si>
  <si>
    <t>Stromkosten kWh/Jahr</t>
  </si>
  <si>
    <t>Wasseranalysen</t>
  </si>
  <si>
    <t>Einheiten</t>
  </si>
  <si>
    <t>Kosten pro Einheit CHF</t>
  </si>
  <si>
    <t>Investitionskosten Anlage CHF</t>
  </si>
  <si>
    <t>Gebäudevorbereitung CHF</t>
  </si>
  <si>
    <t>Installation und Inbetriebnahme CHF</t>
  </si>
  <si>
    <t>Gesundheitskontrolle Fische</t>
  </si>
  <si>
    <t>Heizkosten kWh/Jahr</t>
  </si>
  <si>
    <t>Externe Betreueung und Überwachung</t>
  </si>
  <si>
    <t>Total CHF/a</t>
  </si>
  <si>
    <t>Produktion Tilapia, 10 Tonnen/a Literatur Nr. 7</t>
  </si>
  <si>
    <t>Projektkosten</t>
  </si>
  <si>
    <t>Produktspezifische Kosten</t>
  </si>
  <si>
    <t>Ankauf Jungfische</t>
  </si>
  <si>
    <t>Anlieferung Jungfische</t>
  </si>
  <si>
    <t>Häufigkeit/Anzahl pro Jahr</t>
  </si>
  <si>
    <t>Projektvorbereitung, Ausbildung, Bewilligungen</t>
  </si>
  <si>
    <t>Arbeitsverdienst CHF pro h:</t>
  </si>
  <si>
    <t>Vermarktung, Gebinde an Kunden</t>
  </si>
  <si>
    <t>Entsorgungskosten Schlachtabfälle (kg)</t>
  </si>
  <si>
    <t>Filetieren durch ext. Dienstleister /kg Frischfleisch)</t>
  </si>
  <si>
    <t>Wirtschaftlichkeit von Kreislaufanlagen</t>
  </si>
  <si>
    <t>Literatur Nr. 8</t>
  </si>
  <si>
    <t>Anlagengrösse Tonnen pro Jahr</t>
  </si>
  <si>
    <t>Anzahl Becken</t>
  </si>
  <si>
    <t>Wasservolumen Gesamtanlage m3</t>
  </si>
  <si>
    <t>Maximaler Wasserbedarf / 24 h m3</t>
  </si>
  <si>
    <t>Platzbedarf Gebäude m2</t>
  </si>
  <si>
    <t>Wärmebedarf kW</t>
  </si>
  <si>
    <t>Strombedarf kW</t>
  </si>
  <si>
    <t>Mittleres Einsetzgewicht kg</t>
  </si>
  <si>
    <t>Energie</t>
  </si>
  <si>
    <t>Biologische Daten</t>
  </si>
  <si>
    <t>Mittlere Besatzdichte kg/m3</t>
  </si>
  <si>
    <t>Futterverwertung (FQ)</t>
  </si>
  <si>
    <t>Mastzyklus Monate</t>
  </si>
  <si>
    <t>Europäischer Wels</t>
  </si>
  <si>
    <t>Verarbeitungskosten</t>
  </si>
  <si>
    <t>Verpackung+Transport</t>
  </si>
  <si>
    <t>Mittleres Verkaufsgewicht kg</t>
  </si>
  <si>
    <t>Verwaltung (Büroaufwand)</t>
  </si>
  <si>
    <t>Filetausbeute/Verluste</t>
  </si>
  <si>
    <t>sonstige Abzüge</t>
  </si>
  <si>
    <t>Preis des Lebendfisches</t>
  </si>
  <si>
    <t>Futterkosten</t>
  </si>
  <si>
    <t>Futtermenge Tonnen</t>
  </si>
  <si>
    <t>Preis pro kg</t>
  </si>
  <si>
    <t>Desinfektionsmittel</t>
  </si>
  <si>
    <t>Energie (Strom+Wärme)</t>
  </si>
  <si>
    <t>Besatz</t>
  </si>
  <si>
    <t>Verkaufspreis Filet (EUR/kg)</t>
  </si>
  <si>
    <t>Betriebsertrag (Preise in Euro)</t>
  </si>
  <si>
    <t>Produktionskosten (Preise in Euro)</t>
  </si>
  <si>
    <t>Hilfslöhne</t>
  </si>
  <si>
    <t>Kapitaldienst inkl. Zins und Tilgung</t>
  </si>
  <si>
    <t>Abwasserkosten</t>
  </si>
  <si>
    <t>Frischwasser</t>
  </si>
  <si>
    <t>Versicherung</t>
  </si>
  <si>
    <t>Sonstige Kosten und Wartung</t>
  </si>
  <si>
    <t>Gesamtkosten</t>
  </si>
  <si>
    <t>Kosten pro kg Fisch</t>
  </si>
  <si>
    <t>Betriebsergebnis (Preise in Euro)</t>
  </si>
  <si>
    <t>Wasservolumen je Fischbecken m3</t>
  </si>
  <si>
    <t>Arbeitsaufwand (AK)</t>
  </si>
  <si>
    <t>Masterarbeit Ökologische Aquakulturen als neue Einkommenquelle für die Landwirschaft im Kanton Luzern, Hochschule Luzern, Daniel Bächler</t>
  </si>
  <si>
    <t>Literatur Nr. 9</t>
  </si>
  <si>
    <t>Eingesetztes Futter</t>
  </si>
  <si>
    <t>Vom Fisch aufgenommen</t>
  </si>
  <si>
    <t>In Fischbiomasse umgewandel</t>
  </si>
  <si>
    <t>Futterverluste</t>
  </si>
  <si>
    <t>Kot Ausscheidung</t>
  </si>
  <si>
    <t>Andere Ausscheidungen</t>
  </si>
  <si>
    <t>Gelöste Nährstoffe</t>
  </si>
  <si>
    <t>Partikuläre Festststoffe</t>
  </si>
  <si>
    <t>kg Futter</t>
  </si>
  <si>
    <t>kg BSB5</t>
  </si>
  <si>
    <t>kg N</t>
  </si>
  <si>
    <t>kg P</t>
  </si>
  <si>
    <t>Voraussetzung: Fett 30%, Protein 38 %, 23.4 MJ/kg FQ 0.96</t>
  </si>
  <si>
    <t>Möglickeiten zur Reduzierung der Ablaufwasserbelastung aus der Forellenproduktion, Institut für Fischerei Starnberg</t>
  </si>
  <si>
    <t>Reinigungsarten</t>
  </si>
  <si>
    <t>Wirkungsgrade</t>
  </si>
  <si>
    <t>Ges.P</t>
  </si>
  <si>
    <t>CSB</t>
  </si>
  <si>
    <t>Ges.N</t>
  </si>
  <si>
    <t>Absetzbecken mit Kies- und Tonfilter</t>
  </si>
  <si>
    <t>WG</t>
  </si>
  <si>
    <t>Pflanzenkläranlage</t>
  </si>
  <si>
    <t>NH4-N</t>
  </si>
  <si>
    <t>NO2-N</t>
  </si>
  <si>
    <t>NO3-N</t>
  </si>
  <si>
    <t>Mikrosieb</t>
  </si>
  <si>
    <t>Reinigung von Ablaufwasser aus Forellenteichanlagen, Bayrische Landesanstalt für Landwirtschaft April 2008</t>
  </si>
  <si>
    <t>Literatur Nr. 10</t>
  </si>
  <si>
    <t>90% als NH4-N</t>
  </si>
  <si>
    <t>Wirkungsgrade von Filteranlagen</t>
  </si>
  <si>
    <t>Rückhalt</t>
  </si>
  <si>
    <t>(Vincent 1999)</t>
  </si>
  <si>
    <t>Bandfilter</t>
  </si>
  <si>
    <t>absetzbare Stoffe</t>
  </si>
  <si>
    <t>Wirkungsgrade von Pflanzenkläranlagen (PFK) bei der Reinigung des Durchlaufwassers</t>
  </si>
  <si>
    <t>Aus Bayrische Landesanstalt für Landwirtschaft, Reinigung von Ablaufwasser aus Forellenteichanlagen</t>
  </si>
  <si>
    <t>Lfl Information April 2008</t>
  </si>
  <si>
    <t>Die WG gelten für eine maximale hydraulische Belastung von 7 m3/d und m2 der PFK</t>
  </si>
  <si>
    <t>Wirkungsgrad von Pflanzenkläranlagen</t>
  </si>
  <si>
    <t>gilt auch für Klärteiche mit Pflanzenklärsystemen</t>
  </si>
  <si>
    <t>bei der Reinigung des Durchlaufwassers</t>
  </si>
  <si>
    <t>BSB5 resp. DOC</t>
  </si>
  <si>
    <t>Wirkungsgrad von Schönungsteichen</t>
  </si>
  <si>
    <t>Zusammensetzung von Fischwassser in Kreislaufsystemen (gereinigtes Kreislaufwasser)</t>
  </si>
  <si>
    <t>aus ZHAW Fachstelle für Ökologie, März 2011 (Betriebskonzept Fischzucht Kilchmann)</t>
  </si>
  <si>
    <t>Maximalwerte in mg/l</t>
  </si>
  <si>
    <t>PO4-P</t>
  </si>
  <si>
    <t>DOC</t>
  </si>
  <si>
    <t>Messung Kilchmann</t>
  </si>
  <si>
    <t>Anreicherung der schwer abbaubaren Stoffe aus dem Futter</t>
  </si>
  <si>
    <t>Wasseraustausch % pro Tag</t>
  </si>
  <si>
    <t>( 5 bis 20 %)</t>
  </si>
  <si>
    <t>Die Belastung durch Kreislaufanlagen rechnet sich also in etwa mit obigen Werten dazu kommt der Anteil</t>
  </si>
  <si>
    <t>aus dem abgetrennten Schlamm  resp. der Schlammentwässerung</t>
  </si>
  <si>
    <t>Beurteilungsstufen Gewässer</t>
  </si>
  <si>
    <t>DOC bei geringer Vorbelastung</t>
  </si>
  <si>
    <t>Grenzwerte von</t>
  </si>
  <si>
    <t>Grenzwerte bis</t>
  </si>
  <si>
    <t>Qualitätsgrenze</t>
  </si>
  <si>
    <t>Beurteilungsstufen</t>
  </si>
  <si>
    <t>Rang</t>
  </si>
  <si>
    <t>mg/l</t>
  </si>
  <si>
    <t xml:space="preserve"> &lt; mg/l</t>
  </si>
  <si>
    <t>sehr gut</t>
  </si>
  <si>
    <t>gut</t>
  </si>
  <si>
    <t>mässig</t>
  </si>
  <si>
    <t>unbefriedigend</t>
  </si>
  <si>
    <t>schlecht</t>
  </si>
  <si>
    <t>zu schlecht</t>
  </si>
  <si>
    <t>DOC für alle anderen Gewässer</t>
  </si>
  <si>
    <t>&lt; mg/l</t>
  </si>
  <si>
    <t>Ammoniumbelastung</t>
  </si>
  <si>
    <t>Wird benötigt, wenn keine Angaben zur Belastung des Bachs vorhanden sind</t>
  </si>
  <si>
    <t>Eine Verschlechterung um den Anteil einer Qualitätsstufe bedeutet</t>
  </si>
  <si>
    <t xml:space="preserve">Mit Faktor </t>
  </si>
  <si>
    <t>grob einen Anstieg um</t>
  </si>
  <si>
    <t>Anstieg mg/l</t>
  </si>
  <si>
    <t>bei geringer Vorbelastung</t>
  </si>
  <si>
    <t>Ammonium-N</t>
  </si>
  <si>
    <t>P gelöst</t>
  </si>
  <si>
    <t>Besatzdichten (kein Verweis, nur Info)</t>
  </si>
  <si>
    <t>In der Literatur sind ganz unterschiedliche Angaben zu finden, bei hohen Besatzdichten</t>
  </si>
  <si>
    <t>wie für Durchlauf und Kreislaufanlagen sind etwa folgende Werte zu finden:</t>
  </si>
  <si>
    <t>Besatzdichten</t>
  </si>
  <si>
    <t>Bemerkung</t>
  </si>
  <si>
    <t>kg/m3</t>
  </si>
  <si>
    <t>im Mittel ca.</t>
  </si>
  <si>
    <t>Lachse</t>
  </si>
  <si>
    <t>bis 50 in Intensivzucht, ev. höher bei tiefen Wassertemperaturen</t>
  </si>
  <si>
    <t xml:space="preserve"> "artgerecht" oder in Teichhaltung</t>
  </si>
  <si>
    <t>Datengrundlage Kanton Bern 2008</t>
  </si>
  <si>
    <t xml:space="preserve">Grundlagen: </t>
  </si>
  <si>
    <r>
      <t xml:space="preserve">Es wird </t>
    </r>
    <r>
      <rPr>
        <b/>
        <sz val="10"/>
        <rFont val="Arial"/>
        <family val="2"/>
      </rPr>
      <t>Hochenergiefutter</t>
    </r>
    <r>
      <rPr>
        <sz val="10"/>
        <rFont val="Arial"/>
        <family val="2"/>
      </rPr>
      <t xml:space="preserve"> verwendet</t>
    </r>
  </si>
  <si>
    <t>Die Fische werden unter optimalen Bedingungen gehalten (insbesondere abhängig vom Sauerstoffgehalt in den Durchlaufbecken, immer mindestens 6 mg/l)</t>
  </si>
  <si>
    <t>Der Futterquotient liegt bei ca. 0.96, die Futterverluste betragen max. 4%</t>
  </si>
  <si>
    <t>Menge an ausgeschiedenen Stoffen</t>
  </si>
  <si>
    <t>pro 100 kg Forellenfutter:</t>
  </si>
  <si>
    <t xml:space="preserve">Parameter </t>
  </si>
  <si>
    <t>gelöst</t>
  </si>
  <si>
    <t>Stickstoff partikulär</t>
  </si>
  <si>
    <t>Phosphor partikulär</t>
  </si>
  <si>
    <t>Schlammenge</t>
  </si>
  <si>
    <r>
      <t xml:space="preserve">1 kg produzierte Fischmenge benötigt kg Fischfutter :
</t>
    </r>
    <r>
      <rPr>
        <sz val="9"/>
        <rFont val="Arial"/>
        <family val="2"/>
      </rPr>
      <t>(Futterquotient=0.96), bei Einsatz von Hochenergiefutter mit Energiegehalt: 23,4 MJ/kg und ca. 4% Verlust</t>
    </r>
  </si>
  <si>
    <t>Der Futterquotient, Verwertungskoeffizient oder Konversionsfaktor gibt an, welche Futtermenge benötigt wird, um einen Zuwachs von 1 kg Fisch zu erreichen. Da das Futter in Trockenform gereicht wird, die Fische aber als Lebendgewicht gemessen werden, sind Werte von 0.8–1.5 möglich. 
         Futterquotient = aufgenommene Nahrung [kg]/ Zuwachs [kg]</t>
  </si>
  <si>
    <t>Freigesetzte Nährstoffe aus Schlamm (innerhalb 1 Monat)</t>
  </si>
  <si>
    <t>pro 100 kg Futter</t>
  </si>
  <si>
    <t>im Schlamm verbleibende Nährstoffe (nach 1 Monat)</t>
  </si>
  <si>
    <t xml:space="preserve">C </t>
  </si>
  <si>
    <t>Thematik Futtermittel</t>
  </si>
  <si>
    <t>Thematik Ausscheidungen</t>
  </si>
  <si>
    <t>Thematik Schlamm</t>
  </si>
  <si>
    <t>Grundlagen wie oben</t>
  </si>
  <si>
    <t>Reinigungsleistung Schlammabtrennung Literatur Nr. 4</t>
  </si>
  <si>
    <t>Thematik Nachbehandlung Ablaufwasser</t>
  </si>
  <si>
    <t>Thematik Intensität der Fischzucht bei Teichanlagen</t>
  </si>
  <si>
    <t>Thematik Kreislaufanlagen</t>
  </si>
  <si>
    <t>Thematik Wirtschaftlichkeit</t>
  </si>
  <si>
    <t>Info aus der Tierschutzverordnung</t>
  </si>
  <si>
    <t>Mindestanforderungen für das Halten und den Transport von Speise- und Besatzfische, Anhang 2, Tabelle 7</t>
  </si>
  <si>
    <t>Anforderung an die Haltung</t>
  </si>
  <si>
    <t>Einheit</t>
  </si>
  <si>
    <t>Forellenartige</t>
  </si>
  <si>
    <t>Karpfenartige</t>
  </si>
  <si>
    <t>Maximale Besatzdichte pro m3 Wasser</t>
  </si>
  <si>
    <t>25-100</t>
  </si>
  <si>
    <t>28-100</t>
  </si>
  <si>
    <t>Der Tierbesatz ist so zu wählen, dass jederzeit alle Parameter der Wasserqualität eingehalten sind</t>
  </si>
  <si>
    <t>Wasserqualität</t>
  </si>
  <si>
    <t>Sauerstoffsättigung maximal, Erwachsene</t>
  </si>
  <si>
    <t>Sauerstoffsättigung minimal, Erwachsene</t>
  </si>
  <si>
    <t>Sauerstoffsättigung maximal, Jungtiere</t>
  </si>
  <si>
    <t>Sauerstoffgehalt minimal im abfliessenden Wasser</t>
  </si>
  <si>
    <t>Minimaler Sauerstoffgehalt im Tierbereich</t>
  </si>
  <si>
    <t>langfristig</t>
  </si>
  <si>
    <t>kurzfristig</t>
  </si>
  <si>
    <t>Maximaler Ammoniakgehalt</t>
  </si>
  <si>
    <t>Erwachsene</t>
  </si>
  <si>
    <t>Jungtiere</t>
  </si>
  <si>
    <t>Maximaler Nitratgehalt</t>
  </si>
  <si>
    <t>Maximaler Kochsalzgehalt</t>
  </si>
  <si>
    <t>Kohlendioxidgehalt</t>
  </si>
  <si>
    <t>pH-Werte</t>
  </si>
  <si>
    <t>5.5-8.5</t>
  </si>
  <si>
    <t>6.5-9.0</t>
  </si>
  <si>
    <t>Maximale Temperatur</t>
  </si>
  <si>
    <t>°C</t>
  </si>
  <si>
    <t>Maximale Temperaturdifferenz beim Umsetzen</t>
  </si>
  <si>
    <t>Futterentzug maximal</t>
  </si>
  <si>
    <t>Tagesgrade</t>
  </si>
  <si>
    <t>Total</t>
  </si>
  <si>
    <t>Spezifische Investitionskosten</t>
  </si>
  <si>
    <t>Pilotanlage Bachtellachs, Kreislaufanlage, 3 Tonnen/Jahr</t>
  </si>
  <si>
    <t>%/Tag</t>
  </si>
  <si>
    <t>Abschreibungs-satz % pro a</t>
  </si>
  <si>
    <t>Total Kosten, ohne Filetieren</t>
  </si>
  <si>
    <t>Laufende Kosten</t>
  </si>
  <si>
    <t>Lohnkosten</t>
  </si>
  <si>
    <t>Total Jahreskosten</t>
  </si>
  <si>
    <t>übrige Kosten pro Jahr</t>
  </si>
  <si>
    <t xml:space="preserve">Frischwasser </t>
  </si>
  <si>
    <t>Achtung: Kosten bei bestehenden Gebäuden, Gebäude abgschrieben</t>
  </si>
  <si>
    <t>Total Stunden</t>
  </si>
  <si>
    <t>Anlage Farni, 140 m3, Produktion 10 to/a</t>
  </si>
  <si>
    <t>Sauerstoff</t>
  </si>
  <si>
    <t>Versicherungen Brand/Elementarschaden etc.</t>
  </si>
  <si>
    <t>Bemerkungen</t>
  </si>
  <si>
    <t>Mietwertanteil Gebäude</t>
  </si>
  <si>
    <t xml:space="preserve">Futtermittel kg </t>
  </si>
  <si>
    <t>Diverses</t>
  </si>
  <si>
    <t>Kohlenstoff</t>
  </si>
  <si>
    <t>Stickstoff</t>
  </si>
  <si>
    <t>Phosphor</t>
  </si>
  <si>
    <t>fest</t>
  </si>
  <si>
    <t>C</t>
  </si>
  <si>
    <t>Anteil freigesetzt</t>
  </si>
  <si>
    <t>davon als Ammonium-N</t>
  </si>
  <si>
    <t>Dies Kennzahlen stimmen alle überein, dürfte ursprünglich aus der selben Literatur stammen</t>
  </si>
  <si>
    <t>Anteil an gelöstem N</t>
  </si>
  <si>
    <t>davon Ammonium-N</t>
  </si>
  <si>
    <t>Auswahlliste Fischart</t>
  </si>
  <si>
    <t>Saibling</t>
  </si>
  <si>
    <t>Aesche</t>
  </si>
  <si>
    <t>Zander</t>
  </si>
  <si>
    <t>Barsch</t>
  </si>
  <si>
    <t>Wels</t>
  </si>
  <si>
    <t>Resultate Futter</t>
  </si>
  <si>
    <t>Ausscheidungen</t>
  </si>
  <si>
    <t>Eingesetzte Futtermenge</t>
  </si>
  <si>
    <t>kg/Tag</t>
  </si>
  <si>
    <t>Futterverluste 4%</t>
  </si>
  <si>
    <t>eingetragener Energiegehalt</t>
  </si>
  <si>
    <t>max. Fischgewicht</t>
  </si>
  <si>
    <t>kg eingetragen</t>
  </si>
  <si>
    <t>Theor. Futterbedarf</t>
  </si>
  <si>
    <r>
      <t>Kennzahlen Futtermittel, Zuwachsfutter</t>
    </r>
    <r>
      <rPr>
        <b/>
        <sz val="10"/>
        <color rgb="FFFF0000"/>
        <rFont val="Arial"/>
        <family val="2"/>
      </rPr>
      <t xml:space="preserve"> (1)</t>
    </r>
  </si>
  <si>
    <r>
      <t>In Tool verwendet aus</t>
    </r>
    <r>
      <rPr>
        <b/>
        <sz val="11"/>
        <color rgb="FFFF0000"/>
        <rFont val="Arial"/>
        <family val="2"/>
      </rPr>
      <t xml:space="preserve"> (1)</t>
    </r>
  </si>
  <si>
    <r>
      <t xml:space="preserve">soll aus </t>
    </r>
    <r>
      <rPr>
        <sz val="10"/>
        <color rgb="FFFF0000"/>
        <rFont val="Arial"/>
        <family val="2"/>
      </rPr>
      <t>a)</t>
    </r>
  </si>
  <si>
    <r>
      <t>Anteile Fäkalien</t>
    </r>
    <r>
      <rPr>
        <b/>
        <sz val="10"/>
        <color rgb="FFFF0000"/>
        <rFont val="Arial"/>
        <family val="2"/>
      </rPr>
      <t xml:space="preserve"> (3)</t>
    </r>
  </si>
  <si>
    <r>
      <t xml:space="preserve">kg C aus </t>
    </r>
    <r>
      <rPr>
        <sz val="10"/>
        <color rgb="FFFF0000"/>
        <rFont val="Arial"/>
        <family val="2"/>
      </rPr>
      <t>c)</t>
    </r>
  </si>
  <si>
    <r>
      <t>10 kg BSB</t>
    </r>
    <r>
      <rPr>
        <vertAlign val="subscript"/>
        <sz val="10"/>
        <rFont val="Arial"/>
        <family val="2"/>
      </rPr>
      <t>5</t>
    </r>
    <r>
      <rPr>
        <sz val="10"/>
        <rFont val="Arial"/>
        <family val="2"/>
      </rPr>
      <t xml:space="preserve"> entspricht 5 kg DOC (aufgrund der Eidg. Gewässerschutzverordnung Anhang 2: Anforderungen an Fliessgewässer</t>
    </r>
    <r>
      <rPr>
        <b/>
        <sz val="10"/>
        <color rgb="FFFF0000"/>
        <rFont val="Arial"/>
        <family val="2"/>
      </rPr>
      <t xml:space="preserve"> c)</t>
    </r>
    <r>
      <rPr>
        <sz val="10"/>
        <rFont val="Arial"/>
        <family val="2"/>
      </rPr>
      <t>)</t>
    </r>
    <r>
      <rPr>
        <vertAlign val="subscript"/>
        <sz val="10"/>
        <rFont val="Arial"/>
        <family val="2"/>
      </rPr>
      <t xml:space="preserve"> </t>
    </r>
  </si>
  <si>
    <r>
      <t xml:space="preserve">Kennzahlen Ausscheidungen der Fische (Forellenzucht) </t>
    </r>
    <r>
      <rPr>
        <b/>
        <sz val="10"/>
        <color rgb="FFFF0000"/>
        <rFont val="Arial"/>
        <family val="2"/>
      </rPr>
      <t>(2)</t>
    </r>
  </si>
  <si>
    <t>Absetzbare Stoffe g/Tonne</t>
  </si>
  <si>
    <t>Gesamt-Stickstoff  g/Tonne</t>
  </si>
  <si>
    <t>Gesamt-Phosphor  g/Tonne</t>
  </si>
  <si>
    <t>Umrechnungsfaktoren aus Hochenergiefutter 23.4 MJ/kg</t>
  </si>
  <si>
    <t>linear</t>
  </si>
  <si>
    <t>Ausgleich</t>
  </si>
  <si>
    <t>Faktoren bez auf Hochenergiefutter</t>
  </si>
  <si>
    <t>b</t>
  </si>
  <si>
    <r>
      <t xml:space="preserve">Ausgleich Linear, Faktoren </t>
    </r>
    <r>
      <rPr>
        <sz val="10"/>
        <color rgb="FFFF0000"/>
        <rFont val="Arial"/>
        <family val="2"/>
      </rPr>
      <t>d)</t>
    </r>
  </si>
  <si>
    <t>23.4 MJ/kg</t>
  </si>
  <si>
    <t>aus soll</t>
  </si>
  <si>
    <t>aus eingetragen</t>
  </si>
  <si>
    <t>als Ammonium</t>
  </si>
  <si>
    <t>fest (inkl. Futterverlust)</t>
  </si>
  <si>
    <t>Summe gelöste und partikulare Stoffe</t>
  </si>
  <si>
    <t>Umgerechnet auf Energiegehalt</t>
  </si>
  <si>
    <t>m3/Tag</t>
  </si>
  <si>
    <t>P-Fällung bei Kreislaufanlagen</t>
  </si>
  <si>
    <t>Es sind mehere Möglichkeiten denkbar:</t>
  </si>
  <si>
    <t>Bei der Fällung mit Eisenchlorid sollte eine Restkonzentration von 0.8 bis 1 mg P pro Liter erreichbar sein</t>
  </si>
  <si>
    <t>Fischbecken</t>
  </si>
  <si>
    <t>Schlammabzug</t>
  </si>
  <si>
    <t>Vorfluter</t>
  </si>
  <si>
    <t>P-Fällung nach dem Biofilter, vor Einleitung in den Vorfluter</t>
  </si>
  <si>
    <t>Variante 2:</t>
  </si>
  <si>
    <t>P-Fällung im Schlammabsetzbecken</t>
  </si>
  <si>
    <t>Statt das "Klarwasser" aus dem Schlammstapel in den Trommelfilter zurückzuführen</t>
  </si>
  <si>
    <t>Durch die Fällung im Schlammstapel würden die Absetzeigenschaften des Schlamms verbessert, so dass</t>
  </si>
  <si>
    <t>eventuell der GUS-Grenzwert eingehalten würde. Diese Variante müsste mal getestet werden.</t>
  </si>
  <si>
    <t>Der Schlamm aus der Rückspülung des Trommelfilters lässt sich nur schwer absetzen.</t>
  </si>
  <si>
    <t>könnte die P-Fällung im Schlammstapel erfolgen und das Klarwasser in den Vorfluter geleitet werden (mit Sicherheitsfilter).</t>
  </si>
  <si>
    <t>Variante 3:</t>
  </si>
  <si>
    <t>Klarwasserabzug und Auslauf Biofilter in P-Fällung</t>
  </si>
  <si>
    <t>"Klarwasser"                 P-Fällung</t>
  </si>
  <si>
    <t>Keine Klarwasserrückführung in den Trommelfilter</t>
  </si>
  <si>
    <t>Gesamt-P</t>
  </si>
  <si>
    <t>Lachsproduktion Spitzhof, zhaw Semesterarbeit 2, Martin Keller, Januar 2012</t>
  </si>
  <si>
    <t>Leistung Biofilter aus Lit. 11</t>
  </si>
  <si>
    <t>Eliminationsrate Biofilter</t>
  </si>
  <si>
    <t>Leistung Klärteich aus Lit.11</t>
  </si>
  <si>
    <t>Eliminationsrate Klärteich</t>
  </si>
  <si>
    <t>Nitrit-N</t>
  </si>
  <si>
    <t>Nitrat-N</t>
  </si>
  <si>
    <t>Gesamt-N</t>
  </si>
  <si>
    <t>ca. Zulaufkonzentration mg/l</t>
  </si>
  <si>
    <t>ca. Ablaufkonzentration mg/l</t>
  </si>
  <si>
    <t>Untersuchungen Spitzhof (Kilchmann)</t>
  </si>
  <si>
    <t>maximale Belastung des Kreislaufwassers für Salmoniden</t>
  </si>
  <si>
    <t>Zu Beachten bei Kreislaufanlagen:</t>
  </si>
  <si>
    <t>Die täglich Wassererneuerung muss mindesten 10 % betragen</t>
  </si>
  <si>
    <t>Das "Klarwasser" aus dem Schlammabsetzbecken muss in den Filter zurückgeführt werden (Schlamm setzt sich schwer ab)</t>
  </si>
  <si>
    <t>Das in den Vorfluter eingeleitete Ablaufwasser muss nach dem Biofilter abgeleitet werden.</t>
  </si>
  <si>
    <t>P-Fällung häufig nötig.</t>
  </si>
  <si>
    <t>Besatzfische schwierig zu erhalten-&gt;klären Sie ab</t>
  </si>
  <si>
    <t>Verlust bei Besatzfischen bis zu 10%</t>
  </si>
  <si>
    <t>Kreislaufanlagen sind schwierig zu führen, stellen hohe Anforderungen an das Fachwissen. Vor allem die Einfahrphase ist kritisch</t>
  </si>
  <si>
    <t>Beim technischen und biologischen Betrieb kann eine Vielzahl von Störungen auftreten</t>
  </si>
  <si>
    <t>Diverses aus der Literatur</t>
  </si>
  <si>
    <t>mittlerer spezifischer Sauerstoffbedarf von Fischen ca. 250 g/t*h</t>
  </si>
  <si>
    <t>Deutscher Fischeriverband (ab ca. 3/4 des Berichts)</t>
  </si>
  <si>
    <t>Reinigungswasser darf nicht in den Bach eingeleitet werden</t>
  </si>
  <si>
    <t>P</t>
  </si>
  <si>
    <t>Nitrifikation</t>
  </si>
  <si>
    <t>Denitrifikation</t>
  </si>
  <si>
    <t>P-gelöst</t>
  </si>
  <si>
    <t>Biofilter Rückspül/Reinigungswasser, Biomassezuwachs, wie entsorgen?</t>
  </si>
  <si>
    <t>kg/Jahr</t>
  </si>
  <si>
    <t>Tel.</t>
  </si>
  <si>
    <t>3. Angaben zur Fischzucht</t>
  </si>
  <si>
    <t>2. Angaben zur Anlage</t>
  </si>
  <si>
    <t>max. Anzahl Fische in der Anlage</t>
  </si>
  <si>
    <t>Fischart (z.B. Forelle, Zander, Lachs etc.)</t>
  </si>
  <si>
    <t>maximales Fischgewicht in der Anlage</t>
  </si>
  <si>
    <t>Volumen der Fischbecken</t>
  </si>
  <si>
    <t>Gesamtvolumen der Anlage</t>
  </si>
  <si>
    <t>produzierte Fischmenge pro Jahr</t>
  </si>
  <si>
    <t>maximale eingesetzte Futtermenge pro Tag</t>
  </si>
  <si>
    <t>Anzahl</t>
  </si>
  <si>
    <t>Ablaufwassermenge aus der Anlage</t>
  </si>
  <si>
    <t>Auswahlliste Zuchtart</t>
  </si>
  <si>
    <t>Kommerzielle Zucht</t>
  </si>
  <si>
    <t>Zucht für den Eigenbedarf</t>
  </si>
  <si>
    <t>Energiegehalt des eingesetzten Futters</t>
  </si>
  <si>
    <t>Name:</t>
  </si>
  <si>
    <t>Strasse:</t>
  </si>
  <si>
    <t>PLZ:</t>
  </si>
  <si>
    <t>Ort:</t>
  </si>
  <si>
    <t>Handy:</t>
  </si>
  <si>
    <t>Anlagetyp:</t>
  </si>
  <si>
    <t/>
  </si>
  <si>
    <t>Die Betreiber von kommerziellen Fischzuchten müssen entsprechende Ausbildungskurse besuchen.</t>
  </si>
  <si>
    <t>a) Durchflussanlage</t>
  </si>
  <si>
    <t>b) Teichanlage</t>
  </si>
  <si>
    <t>c) Kreislaufanlage</t>
  </si>
  <si>
    <t>Schlammentwässerung:</t>
  </si>
  <si>
    <t>a) Lamellenklärer / Filterpresse oder ähnliches</t>
  </si>
  <si>
    <t>b) keine sofortige Entwässerung</t>
  </si>
  <si>
    <t>Anlagen mit einem ständigen Wasserdurchfluss wie Becken, Fliesskanäle, Teiche.</t>
  </si>
  <si>
    <t>flache, nicht ständig durchströmte, ablassbare Gewässer.</t>
  </si>
  <si>
    <t>Kontrollwerte</t>
  </si>
  <si>
    <t>l/Sekunde</t>
  </si>
  <si>
    <t>Erläuterung Anlage</t>
  </si>
  <si>
    <t>Text Ausbildung</t>
  </si>
  <si>
    <t>Auflagen Fischereirecht</t>
  </si>
  <si>
    <t>Bei Durchfluss und Teichanlagen sind Massnahmen notwendig um das Entweichen von Fischen zu verhindern. Entsprechende Angaben und Pläne sind mit dem Gesuch einzureichen.</t>
  </si>
  <si>
    <t>Faktor aus max Fischgewicht/prod. Fischmenge, sollte etwa 0.75 sein</t>
  </si>
  <si>
    <t>Code Anlagetyp</t>
  </si>
  <si>
    <t>Bei Kreislaufanlagen mindestens 10 % Wassererneuerung pro Tag</t>
  </si>
  <si>
    <t>Besatzdichte in kg/m3</t>
  </si>
  <si>
    <t>Erläuterung</t>
  </si>
  <si>
    <t>Code Schlammentfernung</t>
  </si>
  <si>
    <t>Code Schlammentwässerung</t>
  </si>
  <si>
    <t>b) separates Absetzbecken</t>
  </si>
  <si>
    <t>c) Bandfilter</t>
  </si>
  <si>
    <t>d) Trommel / Scheibenfilter</t>
  </si>
  <si>
    <t>Name des Gewässers</t>
  </si>
  <si>
    <t>Wie wurde die Wassermenge im Bach erhoben (Schätzung/Messung)</t>
  </si>
  <si>
    <t>DOC (gel. org. Kohlenstoff)</t>
  </si>
  <si>
    <t>NH4-N (Ammonium-Stickstoff)</t>
  </si>
  <si>
    <t>P gelöst (gelöster Phosphor)</t>
  </si>
  <si>
    <t>Standort Anlage:</t>
  </si>
  <si>
    <t>Klassierung</t>
  </si>
  <si>
    <t>Schätzung</t>
  </si>
  <si>
    <t>Messung</t>
  </si>
  <si>
    <t>Auswahlliste Bestimmung Q347</t>
  </si>
  <si>
    <t>Vorbelastung Vorfluter</t>
  </si>
  <si>
    <t>Eingetragen</t>
  </si>
  <si>
    <t>Vorbelastung</t>
  </si>
  <si>
    <t>Auswahlliste Vorbelastung DOC</t>
  </si>
  <si>
    <t>gering</t>
  </si>
  <si>
    <t>hoch</t>
  </si>
  <si>
    <t>Nitratbelastung</t>
  </si>
  <si>
    <t>NO3-N (Nitrat-Stickstoff)</t>
  </si>
  <si>
    <t>eingetragen in Fischzuchtanlage</t>
  </si>
  <si>
    <t>Berechnet die jeweiligen Anteile an Nährstoffen in gelöster und fester Fom</t>
  </si>
  <si>
    <t>bei Verwendung von</t>
  </si>
  <si>
    <t>Hochenergiefutter</t>
  </si>
  <si>
    <t>effektive Nährstoffausscheidungen korrigiert mit Energiegehalt</t>
  </si>
  <si>
    <t>Berechnung der Belastung verwendet!</t>
  </si>
  <si>
    <t>Zwischenberechnung</t>
  </si>
  <si>
    <t>des Futters</t>
  </si>
  <si>
    <t>MJ/kg Vorgabe, wenn kein Eintrag</t>
  </si>
  <si>
    <t>kg/a</t>
  </si>
  <si>
    <t>N</t>
  </si>
  <si>
    <t>Normale Wirkungsgrade Biofilter:</t>
  </si>
  <si>
    <t>gel.P-Reduktion</t>
  </si>
  <si>
    <t>aus Vergleich mit kommunalern Kläranlagen</t>
  </si>
  <si>
    <t>Anforderung an die Wasserqualität bei Kreislaufanlagen</t>
  </si>
  <si>
    <t>diverse Literatur</t>
  </si>
  <si>
    <t>Die Fische in der Anlage benötigen eine bestimmte Wasserqualität. Daher muss der Biofilter sicherstellen,</t>
  </si>
  <si>
    <t>dass das Kreislaufwasser so gereinigt wird, dass die Wasserqualität erreicht wird.</t>
  </si>
  <si>
    <t>Das Ablaufwasser muss somit nach dem Biofilter mindestens diese Qualität haben.</t>
  </si>
  <si>
    <t>Anforderungen an die Kreislaufwasserqualität:</t>
  </si>
  <si>
    <t>Ammonium N</t>
  </si>
  <si>
    <t>max. 1 mg/l</t>
  </si>
  <si>
    <t>max 200 mg/l</t>
  </si>
  <si>
    <t>Die Berechnung der Ablaufwasserkonzentration über einen Wirkungsgrad des Biofilters ist extrem ungenau, das die WG stark schwanken können.</t>
  </si>
  <si>
    <t>Grundsätzlich müssen alle freigesetzten Stoffe wieder aus der Anlage entfernt werden damit sich ein Gleichgewicht einstellt. Bei P kann somit die aus dem Futter</t>
  </si>
  <si>
    <t>freigesetzte P-Menge verwendet werden, da der P-Verbrauch durch den Biofilter gering ist.</t>
  </si>
  <si>
    <t>max. 1-4 mg/l</t>
  </si>
  <si>
    <t>Die freigesetzte Stickstoffmenge liegt zu 90 % als Ammonium-N vor. Dieses wird durch den Biofilter praktisch vollständig in NO3-N umgewandelt</t>
  </si>
  <si>
    <t>Wenn die Kreislaufanlage mit einer Denitrifikationsstufe ausgerüstet ist, kann etwa von einem Wirkungsgrad von 50 % ausgegangen werden</t>
  </si>
  <si>
    <t>Die Nitrat-N Konzentration entspricht dann etwa der freigesetzten Stickstoffmenge * WG Denitrifikation</t>
  </si>
  <si>
    <t>fester Wert</t>
  </si>
  <si>
    <r>
      <t xml:space="preserve">des eingesetzten Futters </t>
    </r>
    <r>
      <rPr>
        <sz val="10"/>
        <color rgb="FFFF0000"/>
        <rFont val="Arial"/>
        <family val="2"/>
      </rPr>
      <t>d)</t>
    </r>
    <r>
      <rPr>
        <sz val="10"/>
        <color theme="1"/>
        <rFont val="Arial"/>
        <family val="2"/>
      </rPr>
      <t>. Diese Werte werden für die</t>
    </r>
  </si>
  <si>
    <r>
      <t xml:space="preserve">=Rückgabewerte </t>
    </r>
    <r>
      <rPr>
        <sz val="10"/>
        <color rgb="FFFF0000"/>
        <rFont val="Arial"/>
        <family val="2"/>
      </rPr>
      <t>e)</t>
    </r>
  </si>
  <si>
    <t>Für die Berechnung des Nitratgehaltes im Ablaufwasser wird der gesamte Stickstoff als Nitrat-N verwendet (vollständige Nitrifikation):</t>
  </si>
  <si>
    <t>WG Denitrifikation</t>
  </si>
  <si>
    <t>Zusammengefasste Berechnung:</t>
  </si>
  <si>
    <t>aus eingetragenen Werten</t>
  </si>
  <si>
    <t>gebildete Schlammmenge</t>
  </si>
  <si>
    <t>Wirkungsgrade der Schlammabtrennung</t>
  </si>
  <si>
    <t>Ausscheidungen aus dem eingesetzten Futter</t>
  </si>
  <si>
    <t>ohne Abtrennung</t>
  </si>
  <si>
    <t>mit Abtrennung</t>
  </si>
  <si>
    <t>Eintrage aus Fischzuchtanlage:</t>
  </si>
  <si>
    <t>Schlammabtrennung:</t>
  </si>
  <si>
    <t>Typ:</t>
  </si>
  <si>
    <t>Q347</t>
  </si>
  <si>
    <t xml:space="preserve">Vorbelastung des Bachs </t>
  </si>
  <si>
    <t>l/s</t>
  </si>
  <si>
    <t>DOC natürlich</t>
  </si>
  <si>
    <t>Einträge Gewässer:</t>
  </si>
  <si>
    <t>abgetrennte Schlammmenge</t>
  </si>
  <si>
    <t>Resultat WG</t>
  </si>
  <si>
    <t>Anteile</t>
  </si>
  <si>
    <t>Resultat</t>
  </si>
  <si>
    <t>Wenn keine Schlammabtrennung (Typ1 oder 2) dann mit Freisetzung Typ 2 rechnen</t>
  </si>
  <si>
    <t>alle Anlagetypen:</t>
  </si>
  <si>
    <t>Durchlaufanlage oder Kreislaufanlage:</t>
  </si>
  <si>
    <t>in Schlamm</t>
  </si>
  <si>
    <t>freigesetzt</t>
  </si>
  <si>
    <t>in Bioschlamm</t>
  </si>
  <si>
    <t>Anteil P</t>
  </si>
  <si>
    <r>
      <t xml:space="preserve">In Tool verwendet </t>
    </r>
    <r>
      <rPr>
        <b/>
        <sz val="11"/>
        <color rgb="FFFF0000"/>
        <rFont val="Arial"/>
        <family val="2"/>
      </rPr>
      <t>1.1</t>
    </r>
  </si>
  <si>
    <r>
      <t xml:space="preserve">Freigesetzte Stoffe </t>
    </r>
    <r>
      <rPr>
        <b/>
        <sz val="10"/>
        <color rgb="FFFF0000"/>
        <rFont val="Arial"/>
        <family val="2"/>
      </rPr>
      <t>1.1</t>
    </r>
  </si>
  <si>
    <r>
      <t>Freigesetzte Nährstoffe  aus Schlamm</t>
    </r>
    <r>
      <rPr>
        <b/>
        <sz val="10"/>
        <color rgb="FFFF0000"/>
        <rFont val="Arial"/>
        <family val="2"/>
      </rPr>
      <t xml:space="preserve"> 1.3</t>
    </r>
  </si>
  <si>
    <r>
      <t xml:space="preserve">Verwendet in Tool </t>
    </r>
    <r>
      <rPr>
        <b/>
        <sz val="10"/>
        <color rgb="FFFF0000"/>
        <rFont val="Arial"/>
        <family val="2"/>
      </rPr>
      <t>1.2</t>
    </r>
  </si>
  <si>
    <r>
      <t xml:space="preserve">Verwendet in Tool, </t>
    </r>
    <r>
      <rPr>
        <b/>
        <sz val="10"/>
        <color rgb="FFFF0000"/>
        <rFont val="Arial"/>
        <family val="2"/>
      </rPr>
      <t>1.2</t>
    </r>
  </si>
  <si>
    <t>Bilanz Durchlaufanlage:</t>
  </si>
  <si>
    <t>soll</t>
  </si>
  <si>
    <t>aus Freisetzung</t>
  </si>
  <si>
    <t>aus Ausscheidung</t>
  </si>
  <si>
    <t>Summe</t>
  </si>
  <si>
    <t>im Ablaufwasser in kg/Tag</t>
  </si>
  <si>
    <t xml:space="preserve">Berechnung freigesetzte Nährstoffe aus abgetrenntem Schlamm bei Durchlaufanlagen: </t>
  </si>
  <si>
    <t>Der abgetrennte Schlamm wird in einem Stapel entwässert, der Schlamm wird täglich</t>
  </si>
  <si>
    <t>Berechnung freigesetzte Nährstoffe bei Teichanlagen</t>
  </si>
  <si>
    <r>
      <t xml:space="preserve">Schlammabtrennung bei Durchlaufanlagen </t>
    </r>
    <r>
      <rPr>
        <b/>
        <sz val="10"/>
        <color rgb="FFFF0000"/>
        <rFont val="Arial"/>
        <family val="2"/>
      </rPr>
      <t>1.2</t>
    </r>
  </si>
  <si>
    <t>Der nicht abgetrennt Schlamm wird bei Durchlaufanlagen ausgeschwemmt (GUS). Erfolgt keine</t>
  </si>
  <si>
    <t>Schlammabtrennung, verbleibt ein Teil des Schlammes in der Anlage, daher wird die Freisetzung</t>
  </si>
  <si>
    <t>*</t>
  </si>
  <si>
    <t>wie mit einem Absetzbecken (*) gerechnet. Der GUS muss aber voll dem Ablaufwasser zugeschlagen werden.</t>
  </si>
  <si>
    <t>Bei Teichanlagen verbleibt der gesamte Schlamm im Teich, die Nährstoffe werden somit freigesetzt</t>
  </si>
  <si>
    <t>Bei der Bilanzierung muss allerdings der Wirkungsgrad des Teichs (wie Schönungsteich) einbezogen</t>
  </si>
  <si>
    <t>werden, da die Pflanzen und Mikroorganismen Nährstoffe abbauen.</t>
  </si>
  <si>
    <t>Schlamm *</t>
  </si>
  <si>
    <t>Beim GUS wird aber keine Reduktion vorgenommen, da der gesamte gebildete Schlamm ausgeschwemmt wird.</t>
  </si>
  <si>
    <t>* Wenn keine Schlammabtrennung erfolgt, wird eine Freisetzung aus dem Schlamm wie bei einem Absetzbecken</t>
  </si>
  <si>
    <t>angenommen (Aufenthaltszeit).</t>
  </si>
  <si>
    <t>C gelöst</t>
  </si>
  <si>
    <t>Ein Teil des Phosphors (und C) ist noch an den GUS gebunden. Der angezeigte partikuläre Anteil entspricht dem Anteil im GUS</t>
  </si>
  <si>
    <t>aus GUS</t>
  </si>
  <si>
    <t>in Wasser</t>
  </si>
  <si>
    <t>in GUS</t>
  </si>
  <si>
    <t>eingesetzt:</t>
  </si>
  <si>
    <t>Summe:</t>
  </si>
  <si>
    <t>Kontrolle Bilanz:</t>
  </si>
  <si>
    <t>GUS *</t>
  </si>
  <si>
    <t>im Schlamm *</t>
  </si>
  <si>
    <t>* Im Fall ohne Schlammabtrennung muss die Menge im Schlamm dem GUS dazugerechnet weden,</t>
  </si>
  <si>
    <t>weil der gesamte Schlamm ausgespült wird</t>
  </si>
  <si>
    <t>Bilanz Kreislaufanlage:</t>
  </si>
  <si>
    <t>Anteil N</t>
  </si>
  <si>
    <t>Für NH4-N, NO2-N, DOC und GUS werden feste Ablaufkonzentrationen verwendet</t>
  </si>
  <si>
    <t>Bilanz Teichanlage:</t>
  </si>
  <si>
    <r>
      <t xml:space="preserve">Verwendet in Tool, </t>
    </r>
    <r>
      <rPr>
        <b/>
        <sz val="10"/>
        <color rgb="FFFF0000"/>
        <rFont val="Arial"/>
        <family val="2"/>
      </rPr>
      <t>1.5</t>
    </r>
  </si>
  <si>
    <r>
      <t xml:space="preserve">Ablaufkonzentrationen bei Kreislaufanlagen </t>
    </r>
    <r>
      <rPr>
        <b/>
        <sz val="10"/>
        <color rgb="FFFF0000"/>
        <rFont val="Arial"/>
        <family val="2"/>
      </rPr>
      <t>1.6)</t>
    </r>
  </si>
  <si>
    <r>
      <t xml:space="preserve">mit WG aus </t>
    </r>
    <r>
      <rPr>
        <b/>
        <sz val="10"/>
        <color rgb="FFFF0000"/>
        <rFont val="Arial"/>
        <family val="2"/>
      </rPr>
      <t>1.5</t>
    </r>
  </si>
  <si>
    <r>
      <t xml:space="preserve">Summe mit WG aus </t>
    </r>
    <r>
      <rPr>
        <b/>
        <sz val="10"/>
        <color rgb="FFFF0000"/>
        <rFont val="Arial"/>
        <family val="2"/>
      </rPr>
      <t>1.5</t>
    </r>
  </si>
  <si>
    <t>Beim Stickstoff wird vereinfacht davon ausgegangen, dass alles zu Nitrat oxidiert wird und keine Denitrifikation stattfindet</t>
  </si>
  <si>
    <t>gel.-P</t>
  </si>
  <si>
    <t>part. P</t>
  </si>
  <si>
    <t>Ablaufwassermenge m3/Tag</t>
  </si>
  <si>
    <t>WVERWEIS(AS26;AQ29:AT35;7)</t>
  </si>
  <si>
    <t>part.-N</t>
  </si>
  <si>
    <t>part. C</t>
  </si>
  <si>
    <t>Ablaufkonzentrationen ohne weitere Nachbehandlung, mg/l:</t>
  </si>
  <si>
    <t>aus Fischfutter eingesetzt:</t>
  </si>
  <si>
    <t>Es kann daher für die Berechnung die Anforderung an das Kreislaufwasser verwendet werden, da anzunehmen ist. Dass die Biofilter entsprechend ausgelegt sind.</t>
  </si>
  <si>
    <t>Nach Trommelfilter und Biofilter</t>
  </si>
  <si>
    <t>GUS nach Trommelfilter und Biofilter</t>
  </si>
  <si>
    <t>als Nitrat nach Nit/Denit</t>
  </si>
  <si>
    <t>im Bioschlamm *</t>
  </si>
  <si>
    <t>in abgetr. Schlamm</t>
  </si>
  <si>
    <t>Der Bioschlamm sollte eigentlich durch Rückspülen in die Schlammabtrennung gehen</t>
  </si>
  <si>
    <t>aus Fischfutter:</t>
  </si>
  <si>
    <t>ohne Deni!</t>
  </si>
  <si>
    <t>mit Deni! aus Bilanz Kreislaufwasser</t>
  </si>
  <si>
    <t>aus Bilanz Kreislaufwasser</t>
  </si>
  <si>
    <t>Der im Biofilter gebildete Schlamm wird beim Rückspülen freigesetzt, dürfte aber mengenmässig</t>
  </si>
  <si>
    <t>in Wasser ohne GUS</t>
  </si>
  <si>
    <t>Auswahlliste Nachbehandlung Ablaufwasser</t>
  </si>
  <si>
    <t>a) keine</t>
  </si>
  <si>
    <t>Art der Nachbehandlung</t>
  </si>
  <si>
    <t>Code Nachbehandlung</t>
  </si>
  <si>
    <t>Nachbehandlung</t>
  </si>
  <si>
    <t>Typ Nachbehandlung:</t>
  </si>
  <si>
    <r>
      <t xml:space="preserve">fester Wert aus </t>
    </r>
    <r>
      <rPr>
        <b/>
        <sz val="10"/>
        <color rgb="FFFF0000"/>
        <rFont val="Arial"/>
        <family val="2"/>
      </rPr>
      <t>1.6</t>
    </r>
  </si>
  <si>
    <r>
      <t xml:space="preserve">aus </t>
    </r>
    <r>
      <rPr>
        <b/>
        <sz val="10"/>
        <color rgb="FFFF0000"/>
        <rFont val="Arial"/>
        <family val="2"/>
      </rPr>
      <t>1.5</t>
    </r>
  </si>
  <si>
    <r>
      <t xml:space="preserve">Verwendet in Tool </t>
    </r>
    <r>
      <rPr>
        <b/>
        <sz val="10"/>
        <color rgb="FFFF0000"/>
        <rFont val="Arial"/>
        <family val="2"/>
      </rPr>
      <t>1.3</t>
    </r>
  </si>
  <si>
    <t>Variante 1: eigentlich die einzig sinnvolle Variante</t>
  </si>
  <si>
    <t>Ges.-N</t>
  </si>
  <si>
    <t>Kein part. Anteil, da sehr wenig GUS</t>
  </si>
  <si>
    <t>soll mit WG</t>
  </si>
  <si>
    <t>nach Eintrag mit WG</t>
  </si>
  <si>
    <t>Anlagetyp</t>
  </si>
  <si>
    <t>Behandlung</t>
  </si>
  <si>
    <t>In dieser Matrix kann bestimmt werden, welche Nachbehandlung für welchen</t>
  </si>
  <si>
    <t>Faktor aus Matrix</t>
  </si>
  <si>
    <t>Index:</t>
  </si>
  <si>
    <t>Zeile</t>
  </si>
  <si>
    <t>Spalte</t>
  </si>
  <si>
    <t>ohne Nuller= Resultat Ablauf</t>
  </si>
  <si>
    <t>Durch eine Nachbehandlung des Ablaufwassers kann die Gewässerbelastung reduziert werden (nicht bei Teichanlagen).</t>
  </si>
  <si>
    <t>Der Faktor aus Matrix wird mit dem WG multipliziert, so dass nur ein WG resultiert, wenn die Behandlung sinnvoll ist</t>
  </si>
  <si>
    <t>Eine Nachbehandlung ist bei Kreislaufanlagen ev. nicht sinnvoll ?, ausser P-Fällung</t>
  </si>
  <si>
    <t>Teichanlagen sind nicht durchströmt aber ablassbar. Eine Nachbehandlung ist daher nicht sinnvoll</t>
  </si>
  <si>
    <t>Ablaufkonzentration mit Nachbehandlung mg/l</t>
  </si>
  <si>
    <t>Kontrolle Mussfelder</t>
  </si>
  <si>
    <t>Summe Mussfelder (soll 3)</t>
  </si>
  <si>
    <t>dient zur Überprüfung, ob die eingetragenen</t>
  </si>
  <si>
    <t>Werte einigermassen plausibel sind</t>
  </si>
  <si>
    <t>diese Felder müssen ausgefüllt werden</t>
  </si>
  <si>
    <t>Praxisresultate</t>
  </si>
  <si>
    <t>gemessen</t>
  </si>
  <si>
    <t>Muri Schötz, Kreislaufanlage</t>
  </si>
  <si>
    <t>Ges. N</t>
  </si>
  <si>
    <t>Ges. P</t>
  </si>
  <si>
    <t>* GUS!</t>
  </si>
  <si>
    <t>berechnet</t>
  </si>
  <si>
    <t>Kreislaufanlagen</t>
  </si>
  <si>
    <t>Kilchmann Malters mit Schönungsteich</t>
  </si>
  <si>
    <t>Gel. P</t>
  </si>
  <si>
    <t>Hostetter Egolzwil</t>
  </si>
  <si>
    <t>P gesamt</t>
  </si>
  <si>
    <t>Vorfluter nach Einleitung</t>
  </si>
  <si>
    <t>Konzentrationserhöhung</t>
  </si>
  <si>
    <t>Gesamtbelastung</t>
  </si>
  <si>
    <t>gesamt-P unfiltriert</t>
  </si>
  <si>
    <t>P ges</t>
  </si>
  <si>
    <t>P gesamt unfiltriert</t>
  </si>
  <si>
    <t>P gesamt (gesamter Phosphor)</t>
  </si>
  <si>
    <t>Es sind noch nicht alle Muss-Felder ausgefüllt</t>
  </si>
  <si>
    <t>Art der Untersuchung (Stichprobe, Untersuchuchgsreihe)</t>
  </si>
  <si>
    <t>Klassierung *</t>
  </si>
  <si>
    <t>P-Fracht bei maximaler Fischbiomasse in der Anlage</t>
  </si>
  <si>
    <t>CSB aus (DOC + 0.8*GUS)*3  berechnet</t>
  </si>
  <si>
    <t>bei max. Fischbiomasse</t>
  </si>
  <si>
    <t>gem. Eintrag</t>
  </si>
  <si>
    <t>gemäss Eintrag</t>
  </si>
  <si>
    <t>gem. Eintrag mit WG</t>
  </si>
  <si>
    <t>Gesamt-P g/Tag</t>
  </si>
  <si>
    <t>P gelöst g/Tag</t>
  </si>
  <si>
    <r>
      <t>P-Frachten in</t>
    </r>
    <r>
      <rPr>
        <b/>
        <sz val="10"/>
        <color rgb="FFFF0000"/>
        <rFont val="Arial"/>
        <family val="2"/>
      </rPr>
      <t xml:space="preserve"> g/d</t>
    </r>
  </si>
  <si>
    <t>P-Fracht soll g/Tag</t>
  </si>
  <si>
    <t>Beurteilung</t>
  </si>
  <si>
    <t>Wenn Vorbelastung eingegeben</t>
  </si>
  <si>
    <t>Klassierung Vorfluter</t>
  </si>
  <si>
    <t>Grenzwert 20 mg/l</t>
  </si>
  <si>
    <t>P-Jahresfracht aus Jahresfuttermenge mit Verhältnis aus maximal eingesetzte Futtermenge/Tag</t>
  </si>
  <si>
    <t>geteilt durch Ablauffracht</t>
  </si>
  <si>
    <t>P-Tagesfracht maximal</t>
  </si>
  <si>
    <r>
      <t>P-Frachten in</t>
    </r>
    <r>
      <rPr>
        <b/>
        <sz val="10"/>
        <color rgb="FFFF0000"/>
        <rFont val="Arial"/>
        <family val="2"/>
      </rPr>
      <t xml:space="preserve"> kg/a</t>
    </r>
  </si>
  <si>
    <t>Faktor max. Stufenanstieg "tragbar"</t>
  </si>
  <si>
    <t>Faktor max. Stufenanstieg "kritisch"</t>
  </si>
  <si>
    <t>Kontrollwerte = Spalte Soll in Blatt Grundlagen</t>
  </si>
  <si>
    <t>Faktor max. Abweichung von Kontrollwerte</t>
  </si>
  <si>
    <t>gem. Eintrag Fischproduktion</t>
  </si>
  <si>
    <t>Der Quotient aus P-Fracht pro eingesetzte Futtermenge bleibt immer gleich, auch wenn falsche</t>
  </si>
  <si>
    <t>max. Futtermenge eingetragen ist. Daher wird auch die Jahresfracht immer richtig ausgegebn, da</t>
  </si>
  <si>
    <t>diese aus der produzierten Fischmenge berechnet wird.</t>
  </si>
  <si>
    <t>P gelöst kg/a</t>
  </si>
  <si>
    <t>Gesamt-P kg/a</t>
  </si>
  <si>
    <t>Futtermenge aus prod. Fisch mit Futterquot. 0.96 und Energieinhalt</t>
  </si>
  <si>
    <t>Auswahlliste für Anlagetyp Achtung: es werden viele Verweise verwendet. Diese funktionieren nur, wenn die Texte alphabetisch angeordnet sind, daher a,b,c etc.</t>
  </si>
  <si>
    <t>Auswahlliste Schlammentwässerung. Achtung: es werden viele Verweise verwendet. Diese funktionieren nur, wenn die Texte alphabetisch angeordnet sind, daher a,b,c etc.</t>
  </si>
  <si>
    <t>Auswahlliste Schlammabtrennung. Achtung: es werden viele Verweise verwendet. Diese funktionieren nur, wenn die Texte alphabetisch angeordnet sind, daher a,b,c etc.</t>
  </si>
  <si>
    <t>Achtung: es werden viele Verweise verwendet. Diese funktionieren nur, wenn die Texte alphabetisch angeordnet sind, daher a,b,c etc.</t>
  </si>
  <si>
    <t>Hinweise</t>
  </si>
  <si>
    <t>Sie haben nicht alle Muss-Felder ausgefüllt, dadurch kann eine schlechtere Bewertung resultieren. Füllen Sie alle Muss-Felder aus !</t>
  </si>
  <si>
    <t>Die Einleitung des Abwassers in das Gewässer ist voraussichtlich möglich.</t>
  </si>
  <si>
    <t>Die Einleitung des Abwassers in das Gewässer ist so nicht möglich.</t>
  </si>
  <si>
    <t>Entwässern Sie den abgetrennten Schlamm mit einem Lamellenklärer oder ähnlichem (unter Ziffer 4).</t>
  </si>
  <si>
    <t>Beurteilungstexte:</t>
  </si>
  <si>
    <t>Prüfen Sie, ob eine Einleitung in einen grösseren Bach möglich ist.</t>
  </si>
  <si>
    <t>Sie können die Schlammentfernung optimieren, die Wirkung nimmt von a) nach d) zu (Ziffer 4).</t>
  </si>
  <si>
    <t>diese Felder können ausgefüllt werden</t>
  </si>
  <si>
    <t xml:space="preserve"> Beurteilung aufgrund Konzentrationserhöhung</t>
  </si>
  <si>
    <t>Bewertungstexte</t>
  </si>
  <si>
    <t>voraussichtlich tragbar</t>
  </si>
  <si>
    <t>kritisch</t>
  </si>
  <si>
    <t>nicht tragbar</t>
  </si>
  <si>
    <t>Code P-Fällung</t>
  </si>
  <si>
    <t>b) Schönungsteich</t>
  </si>
  <si>
    <t>c) Kleinkläranlage (Pflanzenkläranlage, Tropfkörper)</t>
  </si>
  <si>
    <t>WG P-Fällung</t>
  </si>
  <si>
    <t>soll mit WG P</t>
  </si>
  <si>
    <t>nach Eintrag mit WG P</t>
  </si>
  <si>
    <t>Anlagetyp sinnvoll ist (1=sinnvoll; 0=nicht sinnvoll)</t>
  </si>
  <si>
    <t>Sie können eine Nachbehandlung des Abwassers durchführen, die Wirkung nimmt von a) nach c) zu.</t>
  </si>
  <si>
    <t>Anzahl tragbar</t>
  </si>
  <si>
    <t>Anzahl kritisch</t>
  </si>
  <si>
    <t>Anzahl nicht tragbar</t>
  </si>
  <si>
    <t>Bandfilter: umlaufendes Siebband (Maschenweite 60 bis 100 Mikrometer). Dies reduziert den Gehalt an ungelösten Stoffen (GUS) um etwa 50 % und vermindert die Rücklösung von Kohlenstoff-, Stickstoff- und Phosphorverbindungen.</t>
  </si>
  <si>
    <t>Mit Schönungsteichen können die ungelösten Stoffe (GUS) um etwa 2/3 und die gelösten Stoffe um etwa 1/3 reduziert werden.</t>
  </si>
  <si>
    <t>Grafik Konzentrationserhöhung</t>
  </si>
  <si>
    <t>Grenze tragbar</t>
  </si>
  <si>
    <t>Grenze Kritisch</t>
  </si>
  <si>
    <t>Werte für</t>
  </si>
  <si>
    <t>Anteil ist</t>
  </si>
  <si>
    <t>Anteil tragbar=1</t>
  </si>
  <si>
    <t>Anteil Kritisch</t>
  </si>
  <si>
    <t>Abschätzung der Gewässerbelastung durch Fischzuchtanlagen</t>
  </si>
  <si>
    <t>zusätzliche Auflagen</t>
  </si>
  <si>
    <t>Anlagetyp auswählen :</t>
  </si>
  <si>
    <t>Zuchtart auswählen:</t>
  </si>
  <si>
    <t>Eine P-Fällung wird nur bei Kreislaufanlagen berücksichtigt.</t>
  </si>
  <si>
    <t>7. Resultate und Bewertung</t>
  </si>
  <si>
    <t>Hinweise:</t>
  </si>
  <si>
    <t>(Hochenergiefutter ca. 23.4 MJ/kg)</t>
  </si>
  <si>
    <t>4. Angaben zum Gewässer</t>
  </si>
  <si>
    <t>6. Angaben zur Abwassernachbehandlung</t>
  </si>
  <si>
    <t>Matrix Auflagen</t>
  </si>
  <si>
    <t>(Reserven)</t>
  </si>
  <si>
    <t>Zander Kreislaufanlage</t>
  </si>
  <si>
    <t>Ausfall ca. 10 %</t>
  </si>
  <si>
    <t>Masterarbeit</t>
  </si>
  <si>
    <t>Kreislaufanlage 30 t/a</t>
  </si>
  <si>
    <t>3 t/a</t>
  </si>
  <si>
    <t>10 t/a</t>
  </si>
  <si>
    <t>30 t/a</t>
  </si>
  <si>
    <t>Strom kWh/a</t>
  </si>
  <si>
    <t>Wärme kWh/a</t>
  </si>
  <si>
    <t>scheinbar zu tief! Etwa Faktor 3 höher gemäss Muri</t>
  </si>
  <si>
    <t>Verkaufspreise 2014, Filets, CHF</t>
  </si>
  <si>
    <t>CHF/kg</t>
  </si>
  <si>
    <t>Filetanteil</t>
  </si>
  <si>
    <t>Preise Besatzfische</t>
  </si>
  <si>
    <t>Euro, diverse Quellen bei 1000 Stck Abnahme</t>
  </si>
  <si>
    <t>Mittelwert Euro</t>
  </si>
  <si>
    <t>CHF Mittelwerte</t>
  </si>
  <si>
    <t>Faktor Heizkosten</t>
  </si>
  <si>
    <t>verwendet</t>
  </si>
  <si>
    <t>Bachforelle</t>
  </si>
  <si>
    <t>15-18 cm</t>
  </si>
  <si>
    <t>Regenbogenforelle</t>
  </si>
  <si>
    <t>12-15 cm</t>
  </si>
  <si>
    <t>11-14 cm</t>
  </si>
  <si>
    <t>Arbeitsaufwand h</t>
  </si>
  <si>
    <t>Investitionskosten CHF spezifisch</t>
  </si>
  <si>
    <t>Anlagekosten CHF</t>
  </si>
  <si>
    <t>Kosten CHF pro kg Lebendfisch</t>
  </si>
  <si>
    <t>Abschätzung der Kosten für eine Kreislaufanlage</t>
  </si>
  <si>
    <t>Ihre eigenen Zahlen:</t>
  </si>
  <si>
    <t>Die angezeigten Kosten sind nur ungefähre Abschätzungen, die tatsächlichen Kosten können sehr stark</t>
  </si>
  <si>
    <t>Kontrolle Kreislaufanlage</t>
  </si>
  <si>
    <t>Hier können Sie in den grünen Feldern Ihre eigenen Zahlen eintragen:</t>
  </si>
  <si>
    <t>Produktionsmenge t/a</t>
  </si>
  <si>
    <t>Frischwasser m3/d</t>
  </si>
  <si>
    <t>Besatz Jungfische</t>
  </si>
  <si>
    <t>kontrolle Einträge</t>
  </si>
  <si>
    <t>je Einheit</t>
  </si>
  <si>
    <t>(Einheiten)</t>
  </si>
  <si>
    <t>h</t>
  </si>
  <si>
    <t>h/Jahr</t>
  </si>
  <si>
    <t>Fische:Fütterung, Kontrolle</t>
  </si>
  <si>
    <t>Fische: Diverse Arbeiten</t>
  </si>
  <si>
    <t>Administration, Weiterbildung/Erfa</t>
  </si>
  <si>
    <t>Fische: Abfischen, töten je 400 kg</t>
  </si>
  <si>
    <t>Verarbeitung/Fischtransporte</t>
  </si>
  <si>
    <t>Arbeitsaufwand ca. Stunden/Jahr</t>
  </si>
  <si>
    <t>Abschreibung nach Jahren:</t>
  </si>
  <si>
    <t>CHF</t>
  </si>
  <si>
    <t>% /a</t>
  </si>
  <si>
    <t>CHF/Jahr</t>
  </si>
  <si>
    <t>Gebäudevorbereitung ca. 10% der Anlagekosten</t>
  </si>
  <si>
    <t>Installation und Inbetriebnahme ca. 8% der Anlagekosten</t>
  </si>
  <si>
    <t>Projektvorbereitung, Ausbildung, Bewilligung ca. 5% der Anlagekosten</t>
  </si>
  <si>
    <t>Materialkosten Indooranlage</t>
  </si>
  <si>
    <t>Abschreibung (ohne Verzinsung) CHF/Jahr</t>
  </si>
  <si>
    <t>Anzahl (Einheiten)</t>
  </si>
  <si>
    <t>CHF je Einheit</t>
  </si>
  <si>
    <t>Kosten je Einheit</t>
  </si>
  <si>
    <t>Externe Betreuung und Überwachung</t>
  </si>
  <si>
    <t>Frischwasser m3/a</t>
  </si>
  <si>
    <t>Stromkosten kWh/a</t>
  </si>
  <si>
    <t>Heizkosten kWh/a</t>
  </si>
  <si>
    <t>Versicherungen Brand/Elementarschaden 0.3% der Investitionskosten</t>
  </si>
  <si>
    <t>Laufende Kosten CHF/Jahr</t>
  </si>
  <si>
    <t>Futtermittel (kg Fischzuwachs x 1.2)</t>
  </si>
  <si>
    <t>Produktspezifische Kosten CHF/Jahr</t>
  </si>
  <si>
    <t>Zusammenfassung</t>
  </si>
  <si>
    <t>CHF/a</t>
  </si>
  <si>
    <t>Abschreibung Investitionskosten</t>
  </si>
  <si>
    <t>Produktspez. Kosten</t>
  </si>
  <si>
    <t>Stunden</t>
  </si>
  <si>
    <t>Stundensatz CHF</t>
  </si>
  <si>
    <t>Stundenaufwand/Lohnkosten</t>
  </si>
  <si>
    <t>Total Kosten CHF/a</t>
  </si>
  <si>
    <t>Kosten pro kg Lebendfisch CHF/kg</t>
  </si>
  <si>
    <t>Bei der Kostenabschätzung wurde nicht berücksichtigt:</t>
  </si>
  <si>
    <t xml:space="preserve"> - Anteil gestorbene Fische</t>
  </si>
  <si>
    <t xml:space="preserve"> - Kosten durch Behandlung von Krankheiten</t>
  </si>
  <si>
    <t xml:space="preserve"> - Kosten durch zusätzliche Abwasseraufbereitungsanlagen</t>
  </si>
  <si>
    <t xml:space="preserve"> - alfällige ARA-Gebühren bei Einleitung in eine kommunale Kläranlage</t>
  </si>
  <si>
    <t xml:space="preserve"> - Kosten durch allfällige Behandlung oder externe Entsorgung der Fischgülle</t>
  </si>
  <si>
    <t xml:space="preserve"> - Kosten durch eigene Schlachtung inkl. Abfallentsorgung</t>
  </si>
  <si>
    <t>Wassertemperatur in Kreislaufanlagen</t>
  </si>
  <si>
    <t>für optimalen Zuwachs</t>
  </si>
  <si>
    <t>29 °C</t>
  </si>
  <si>
    <t>24°C</t>
  </si>
  <si>
    <t>Flussbarsch, Egli</t>
  </si>
  <si>
    <t>14-18 °C</t>
  </si>
  <si>
    <t>Japanischer Kirschenlachs</t>
  </si>
  <si>
    <t>Lachs</t>
  </si>
  <si>
    <t>Faktor Wärme</t>
  </si>
  <si>
    <t>Wärme mit Faktor auf 1</t>
  </si>
  <si>
    <t>Würde Zander entsprechen</t>
  </si>
  <si>
    <t xml:space="preserve"> - Kosten Gebäude</t>
  </si>
  <si>
    <t>Deses Blatt funktioniert nur, wenn unter "Fischzuchtanlage" die Kreislaufanlage ausgewählt ist.</t>
  </si>
  <si>
    <t>Konzentrations-erhöhung im Gewässer</t>
  </si>
  <si>
    <t>sonst P-entfernen (=1)</t>
  </si>
  <si>
    <t>Anlage/Auflage Nr.</t>
  </si>
  <si>
    <t>Im Einzugsgebiet der Mittellandseen max. kg P/Jahr, in Absprache mit pa</t>
  </si>
  <si>
    <t>Bei Durchlaufanlagen ist eine Schlammabtrennung oder Nachbehandlung möglich.</t>
  </si>
  <si>
    <t>Nur bei Kreislaufanlagen ist eine Phosphorfällung möglich.</t>
  </si>
  <si>
    <t>Ist bei Durchlauf oder Kreislaufanlagen die Belastung kritisch, weitere Behandlungsmöglichkeiten auschöpfen.</t>
  </si>
  <si>
    <t>Code</t>
  </si>
  <si>
    <t>Bei Kreislaufanlagen oder Teichanlagen ist eine Schlammabtrennung oder Nachbehandlung nicht möglich.</t>
  </si>
  <si>
    <t>Die Codes berücksichtigen den Anlagetyp!</t>
  </si>
  <si>
    <t>berücksichtigt in Code</t>
  </si>
  <si>
    <t>Ist bei Durchlaufanlagen und Kreislaufanlagen die Belastung kritisch und alle Behandlungsmöglichkeiten ausgeschöpft, Faktor für kritisch/ev. zulässig prüfen.</t>
  </si>
  <si>
    <t>Für Beurteilungstexte und Hilfetexte:</t>
  </si>
  <si>
    <t>Schlammentwässerung Umkehrwert, da keine Entwässerung 2 und Entwässerung 1 ist</t>
  </si>
  <si>
    <t>Summe Behandlung</t>
  </si>
  <si>
    <t>Bei Kreislaufanlagen können Sie eine Phosphor-Fällung durchführen.</t>
  </si>
  <si>
    <t>Summe Behandlung (alle=11)</t>
  </si>
  <si>
    <t>Verweis</t>
  </si>
  <si>
    <t>Summe Behandlung &lt;11</t>
  </si>
  <si>
    <t>Die Belastung liegt im kritischen Bereich, bitte mit uwe vor Einreichung des Gesuchs abklären, ob eine Einleitung allenfalls möglich ist.</t>
  </si>
  <si>
    <t>Restwassermenge im Bach unmittelbar vor der Einleitstelle (Q347) l/s</t>
  </si>
  <si>
    <t>Grundlagen für dieses Tool:</t>
  </si>
  <si>
    <t>Anleitung zum Ausfüllen des Blattes Fischzuchtanlage:</t>
  </si>
  <si>
    <t>Das Blatt Fischzuchanlagen ist schreibgeschützt, Sie können nur dort Angaben auswählen oder Daten eintragen, wo es auch nötig ist.</t>
  </si>
  <si>
    <t>Eingabe möglich aber nicht zwingend ist.</t>
  </si>
  <si>
    <t>Das Blatt enthält Felder die zwingend ausgefüllt werden müssen (muss-Felder), Felder bei denen Sie Angaben aus einer Liste auswählen können und Felder wo eine</t>
  </si>
  <si>
    <t>Sie werden darauf hingewiesen, wenn nicht alle muss-Felder ausgefüllt sind.</t>
  </si>
  <si>
    <t>Wenn Sie nicht alle muss-Felder ausfüllen, werden Annahmen getroffen, die eine schlechtere Beurteilung zur Folge haben können.</t>
  </si>
  <si>
    <t>Es kann eine Behandlung des Ablaufwassers mit einem Schönungsteich oder eine Kleinkläranlage nötig sein.</t>
  </si>
  <si>
    <t>Anforderungen aus der Gewässerschutzgesetzgebung:</t>
  </si>
  <si>
    <t>Anforderungen an die Schlammentsorgung:</t>
  </si>
  <si>
    <t>Anforderungen zum Einsatz von Medikamenten und Desinfektionsmitteln</t>
  </si>
  <si>
    <t>Notwendige Bewilligungen:</t>
  </si>
  <si>
    <t>Vorgeschriebene Rückhaltemassnahmen:</t>
  </si>
  <si>
    <t>Anforderung an die Ausbildung Ausbildung:</t>
  </si>
  <si>
    <t xml:space="preserve">Hinweise zu diesem Hilfsmittel: </t>
  </si>
  <si>
    <t>d) keine</t>
  </si>
  <si>
    <t>e) Phosphorfällung</t>
  </si>
  <si>
    <t>Verwendet</t>
  </si>
  <si>
    <t>Erfahrungswerte</t>
  </si>
  <si>
    <t>Die Abwasserableitung darf bei Kreislaufanlagen erst nach der internen Wasseraufbereitung (Biofilter) erfolgen.</t>
  </si>
  <si>
    <t>Zusammenfassende Beurteilung der Abwassereinleitung in den Bach:</t>
  </si>
  <si>
    <t>Zusätzliche Auflagen Verweis Nr.</t>
  </si>
  <si>
    <t>Die eingereichten Angaben und Unterlagen sind verbindlich. Änderungen am Projekt oder Ausführungen, die nicht den eingereichten Unterlagen entsprechen, bedürfen der Zustimmung von uwe.</t>
  </si>
  <si>
    <t>Im Normalbetrieb dürfen keine Medikamente eingesetzt werden. Chemoterapeutische Behandlungen dürfen nur auf Anweisung eines fischkundigen Tierarztes</t>
  </si>
  <si>
    <t>oder dem Zentrum für Fisch- und Wildtiermedizin der Universität Bern erfolgen.</t>
  </si>
  <si>
    <t>Es ist ein Betriebsprotokoll zu führen, worin unter anderem die produzierte Fischmenge, der Verbrauch an Futtermitteln, die anfallenden Schlammmengen und deren Entsorgung etc. festgehalten werden.</t>
  </si>
  <si>
    <t>Störungen und Abweichungen vom Normalbetrieb sind unverzüglich zu beheben und ausserordentliche Ereignisse sind uwe zu melden.</t>
  </si>
  <si>
    <t>Die Weiterverarbeitung (Schlachtung etc.) der Fische ist hier nicht berücksichtigt. Daraus können sich zusätzliche Auflagen ergeben.</t>
  </si>
  <si>
    <t>Die Gewässerbelastung durch das Abwasser der Fischzuchtanlage muss überprüft werden. D.h. im abgeleiteten Abwasser sind regelmässig Analysen durchzuführen (organische Stoffe, Nährstoffe, Gesamt ungelöste Stoffe). Die Details werden in der Bewilligung geregelt.</t>
  </si>
  <si>
    <t>Generelle Auflagen und Bedingungen:</t>
  </si>
  <si>
    <t>Im Blatt Anleitung sind die wichtigsten Auflagen und Bedingungen für eine Bewilligung aufgeführt. Unten finden Sie zusätzliche generelle und projektspezifische Auflagen, die in einer allfälligen Bewilligung zu erwarten sind. Diese sind nicht abschliessend, je nach Situation können weitere hinzukommen.</t>
  </si>
  <si>
    <t>8. Auflagen und Bedingungen</t>
  </si>
  <si>
    <t>In Fischzuchtanlagen darf nur phosphorarmes Futtermittel verwendet werden.</t>
  </si>
  <si>
    <t>Für die Fischzuchtanlage sind verschiedene Bewilligungen notwendig: Fischereirechtliche Bewilligung und Abwassereinleitbewilligung; sowie je nach Situation Wasserentnahmebewilligung</t>
  </si>
  <si>
    <t xml:space="preserve">und Projektgenehmigung für die Abwasservorbehandlung bzw. Nachbehandlung des Abwassers. </t>
  </si>
  <si>
    <t>Es dürfen keinerlei andere Abwässer z.B. aus Reinigung, Desinfektion oder Behandlung mit Medikamenten etc. ins Gewässer eingeleitet werden.</t>
  </si>
  <si>
    <t>Der Schlamm aus Teichanlagen darf nicht in ein Gewässer eingeleitet werden, er ist landwirtschaftlich zu verwerten.</t>
  </si>
  <si>
    <t>Schlachtgewicht kg</t>
  </si>
  <si>
    <t>Produktionsangaben (aus Blatt Fischzucht)</t>
  </si>
  <si>
    <t>Für die Beurteilung ist die maximale Belastung des Gewässers massgebend, daher wird vom maximalen Fischgewicht in der Anlage ausgegangen. Bevor die Fische ihr Schlachtgewicht erreichen, ist die eingesetzte Futtermenge am grössten und somit auch die Belastung des Gewässers. Sie müssen daher bei der Futtermenge die maximal täglich gefütterte Menge beim höchsten Fischbiomassestand in der Anlage eintragen.</t>
  </si>
  <si>
    <t>Für die Beurteilung wird von phosphorreduziertem Hochenergiefutter ausgegangen. Der Energiegehalt des Futters kann in einem gewissen Bereich angepasst werden.</t>
  </si>
  <si>
    <t>Dieses Tool erlaubt daher nur eine Abschätzung der Abwasserbelastung. Durch die Bewertung "kritisch" wird diesem Umstand Rechnung getragen. Dieser Bereich beinhaltet einen grossen Faktor, der die Unsicherheiten auffangen soll.</t>
  </si>
  <si>
    <t>Wenn die Beurteilung kritisch angezeigt wird, können Sie mit verschiedenen zusätzlichen Massnahmen die Gewässerbelastung verringern. Auf der Grafik sehen Sie direkt die Auswirkungen dieser Massnahmen auf die Belastung des Gewässers und bei welchen Parametern die Belastung tragbar, kritisch oder nicht tragbar ist.</t>
  </si>
  <si>
    <t>Die Weiterverarbeitung (Schlachtung etc.) der Fische ist im vorliegenden File nicht berücksichtigt. Die dabei anfallenden Abwässer und Abfälle müssen für die Gesamtbelastung mitgerechnet werden. Die Entsorgung dieser Abwässer und Abfälle hat nach den geltenden gesetzlichen Grundlagen zu erfolgen. Daraus ergeben sich zusätzliche Auflagen.</t>
  </si>
  <si>
    <t>Bei Kreislaufanlagen wird davon ausgegangen, dass die Feststoff- und Biofilter so ausgelegt sind, dass die Feststoffe praktisch vollständig zurückgehalten werden und eine weitestgehende Nitrifikation stattfindet. Die Konzentration an Ammonium-N, DOC und an GUS im Ablaufwasser wird daher mit einem fixen Wert eingesetzt. Der Nitratgehalt wird mit einem Wirkungsgrad der Denitrifikation zwischen 40-45 % berechnet. Der Phosphorgehalt wird ebenfalls berechnet, wobei eine gewisse Reduktion durch den Biofilter einbezogen ist..</t>
  </si>
  <si>
    <t>Im Einzugsgebiet der Mittellandseen kann eine Phosphorfällung notwendig sein, auch wenn durch die Einleitung ein zulässiger Anstieg gemäss MSK erfolgt.</t>
  </si>
  <si>
    <t>Durch die Ablaufwassereinleitung darf sich  die Gewässerqualität höchstens auf die nächste Stufe gemäss dem Modulstufenkonzept des Bundes (MSK) verschlechtern.</t>
  </si>
  <si>
    <t>P-Reduktion:</t>
  </si>
  <si>
    <t>DOC-Abbau für P-Reduktion:</t>
  </si>
  <si>
    <t>Erfahrungswerte Kilchmann</t>
  </si>
  <si>
    <t>Die Abschätzung ist nur für Kreislaufanlagen mit einer Jahresproduktion von 3 bis ca. 30 Tonnen anwendbar.</t>
  </si>
  <si>
    <t>davon abweichen. Es werden keine Garantien oder Haftung übernommen.</t>
  </si>
  <si>
    <t>Die Einleitung des Abwassers ist so eher nicht möglich. Reduzieren Sie die Belastung durch weitergehende Massnahmen (siehe Hinweise).</t>
  </si>
  <si>
    <t xml:space="preserve">Restkonzentration an P bei P-Fällung bei Kreislaufanlagen in mg/l: </t>
  </si>
  <si>
    <t>Abwässer aus  der Reinigung, Desinfektion, Entschlammung, allfällige Schlammpresswässer etc. dürfen nicht in ein Gewässer eingeleitet werden.</t>
  </si>
  <si>
    <t>P-Jahresfrachten aus prod. Fischmenge oder Tagesfracht</t>
  </si>
  <si>
    <t>Die Abschätzung der resultierenden Gewässerbelastung durch das eingeleitete Abwasser beruht auf Angaben aus der Literatur und Erfahrungswerten von bestehenden Anlagen. Die Zahlen beinhalten eine gewisse Bandbreite. Es können, abhängig von der Anlage, dem Futter, den Behandlungsstufen und z.B. bei Kreislaufanlagen der Art und dem Zustand des Biofilters, starke Schwankungen auftreten.</t>
  </si>
  <si>
    <t>Schlämme aus der Entschlammung oder der Schlammabtrennung müssen landwirtschaftlich verwertet werden oder in eine Biogasanlage gebracht werden.</t>
  </si>
  <si>
    <t>5. Abtrennung der Feststoffe</t>
  </si>
  <si>
    <t>Art der Feststoffabtrennung:</t>
  </si>
  <si>
    <t>a) keine Feststoffabtrennung</t>
  </si>
  <si>
    <t>Werden die Feststoffe nicht abgetrennt, erhöht sich die Belastung des Abwassers.</t>
  </si>
  <si>
    <t>Die Feststoffe werden in einem Absetzbecken für den laufenden Betrieb zurückgehalten. Dies reduziert den Gehalt an ungelösten Stoffen (GUS) um etwa 30 % und vermindert die Rücklösung von Kohlenstoff-, Stickstoff- und Phosphorverbindungen.</t>
  </si>
  <si>
    <t>Entwässerung der abgetrennten Feststoffe:</t>
  </si>
  <si>
    <t>Die Feststoffe werden aus dem Zuchtbecken laufend entfernt (Bandfilter, Trommel/Scheibenfilter) und sofort mit einem Lamellenklärer , Filterpresse oder änlichem entwässert.</t>
  </si>
  <si>
    <t>Bei Kreislaufanlagen wird die Feststoffabtrennung und -entwässerung automatisch berücksichtigt !</t>
  </si>
  <si>
    <t>Bei Teichanlagen ist eine Feststoffabtrennung nicht sinnvoll, die Einstellungen haben keinen Einfluss.</t>
  </si>
  <si>
    <t>Eine Entwässerung ist nicht möglich, wenn Sie die Feststoffe nicht mit einem Filter abtrennen!</t>
  </si>
  <si>
    <t>Hier sehen Sie die Auswirkungen, wenn Sie die Feststoffabtrennung und -entwässerung, oder die Nachbehandlung des Abwassers verändern.</t>
  </si>
  <si>
    <t>Schlämme aus der Entschlammung oder der Feststoffabtrennung müssen landwirtschaftlich verwertet werden oder in eine Biogasanlage oder in den Faulturm einer Kläranlage gebracht werden.</t>
  </si>
  <si>
    <t>Das Klarwasser aus der Schlammentwässerung und allfälliges Presswasser muss über den Feststoffilter und den Biofilter geführt werden.</t>
  </si>
  <si>
    <t>Fütterung:</t>
  </si>
  <si>
    <t>Anlagengrösse:</t>
  </si>
  <si>
    <t>Wenn Futtermenge Abweicht muss eine Begründung eingetragen sein</t>
  </si>
  <si>
    <t>Berechnung Wassermenge:</t>
  </si>
  <si>
    <t>Erläuterungen oder Berechnungsresultate</t>
  </si>
  <si>
    <t>Vorbelastung mit DOC</t>
  </si>
  <si>
    <t>Vorbelastung des Bachs, nur ausfüllen wenn bekannt:</t>
  </si>
  <si>
    <t>Das max. Fischgewicht müsste bei Zander oder Tilapia höher sein.</t>
  </si>
  <si>
    <t>Gesamtvolumen aller Fischbecken</t>
  </si>
  <si>
    <t>Zwischenrechnung P Kreislauf</t>
  </si>
  <si>
    <t>Kontrolle Schlammabtrennung (nur bei c+d bei Durchlaufanlagen möglich) falsch=1</t>
  </si>
  <si>
    <t>Schlämme aus der Entschlammung oder der Feststoffabtrennung müssen landwirtschaftlich verwertet werden oder in eine Biogasanlage gebracht werden.</t>
  </si>
  <si>
    <t>Summe Mussfelder (soll 7)</t>
  </si>
  <si>
    <t>Anlagen mit Behältersystemen in denen das Wasser im Kreislauf geführt wird, mit Biofiltern inkl. Denitrifikation zur Wasseraufbereitung. Die Feststoffabtrennung und -Entwässerung wird automatisch berücksichtigt</t>
  </si>
  <si>
    <t>Berechnung freigesetzte Nährstoffe bei Kreislaufanlagen</t>
  </si>
  <si>
    <t>Bei Kreislaufanlagen verbleiben die nicht durch die Filter abgetrennten Feststoffe im System</t>
  </si>
  <si>
    <t>und werden im Biofilter teilweise zurückgehalten. Ebenso wird im Biofilter Bioschlamm produziert. Auch wärend</t>
  </si>
  <si>
    <t>der Sedimentation des abgetrennten Schlamms wird ein Teil des P und N freigesetzt.</t>
  </si>
  <si>
    <t>Hier kann ein Anteil des Schlamms, aus welchem die Nährstoffe freigesetzt werden, bestimmt werden.</t>
  </si>
  <si>
    <t xml:space="preserve">Kohlenstoff, Stickstoff und P werden </t>
  </si>
  <si>
    <t>vom Biofilter verbraucht werden (Aufbau Biomasse, Nitrifikation, Denitrifikation).</t>
  </si>
  <si>
    <t xml:space="preserve">geringer sein. </t>
  </si>
  <si>
    <t>abgezogen, daher keine zusätzliche Freisetzung aus abgetrenntem Schlamm</t>
  </si>
  <si>
    <t>Anteil Feststoffe aus welchem die Nährstoffe freigesetzt werden</t>
  </si>
  <si>
    <t>Im Biofilter wird aus C, N und P Biomasse aufgebaut, das Verhältnis ist etwa 105:15:1. Der maximale P-Verbrauch beträgt somit ca. 4.8 % des in Biomasse umgewandelten C.</t>
  </si>
  <si>
    <t>Ein Teil des C wird für die Denitrifikation benötigt und es ist davon auszugehen, dass ein Teil der Biomasse wieder mineralisiert wird.</t>
  </si>
  <si>
    <t>Anteil P-Reduktion (gelöst) pro DOC-Abbau geschätzt:</t>
  </si>
  <si>
    <t>* es wird davon ausgegangen, dass C+N im Biofilter verbraucht  werden</t>
  </si>
  <si>
    <t>Dadurch wird sicher wieder ein Teil freigesetzt</t>
  </si>
  <si>
    <t>inkl. Vorbelastung</t>
  </si>
  <si>
    <t>Auswahlliste Seeeinzugsgebiete</t>
  </si>
  <si>
    <t>im Einzugsgebiet des Sempachersees</t>
  </si>
  <si>
    <t>max P-Jahrefracht kg/a</t>
  </si>
  <si>
    <t>Seeeinzugsgebiet:</t>
  </si>
  <si>
    <t>Test Auswahl</t>
  </si>
  <si>
    <t>ist eine P-Fällung nötig ab kg/Jahr:</t>
  </si>
  <si>
    <t>Voraussichtlich ist eine Phosphorfällung notwendig</t>
  </si>
  <si>
    <t>im Einzugsgebiet des Baldegger- oder Hallwilersees</t>
  </si>
  <si>
    <t>Achtung, wenn eine Vorbelastung des Bachs eingetragen wurde, gelangt diese Vorbelastung ebenfalls</t>
  </si>
  <si>
    <t>in die Anlage und zurück in den Bach und muss somit dazugezähl werden</t>
  </si>
  <si>
    <t>ungefähre Konzentration im Gewässer</t>
  </si>
  <si>
    <t>ungefähre Zusatz-belastung des Ablaufwassers:</t>
  </si>
  <si>
    <t>Verkaufspreis ca. CHF/kg</t>
  </si>
  <si>
    <t>Werden die Feststoffe nicht abgetrennt und entwässert, erfolgt eine Rücklösung von Stoffen welche das Abwasser zusätzlich belasten. Es werden 30% bis 40% der Stoffe wieder freigesetzt.</t>
  </si>
  <si>
    <t>Futtermittel Zander</t>
  </si>
  <si>
    <t>Kosten gemäss Swifish</t>
  </si>
  <si>
    <t>Besatz Zander</t>
  </si>
  <si>
    <t>CHF/Stck</t>
  </si>
  <si>
    <t>Betsandstierarzt</t>
  </si>
  <si>
    <t>Schulung/Kurs</t>
  </si>
  <si>
    <t>Verkaufspreis Zanderfilet</t>
  </si>
  <si>
    <t>CHF/kg, Migros 2016</t>
  </si>
  <si>
    <t>Vortrag Parsini</t>
  </si>
  <si>
    <t>Kreislaufanlage 10 t/a</t>
  </si>
  <si>
    <t>Produktion t/a</t>
  </si>
  <si>
    <t>Euro</t>
  </si>
  <si>
    <t>Investitionskosten Ausgleichsrechnung:</t>
  </si>
  <si>
    <t>Preise Akvagroup, eher Luxusanlagen</t>
  </si>
  <si>
    <t>angepasst, billiger</t>
  </si>
  <si>
    <t>etwa mal 2</t>
  </si>
  <si>
    <t>Summe Mussfelder (soll 8)</t>
  </si>
  <si>
    <t>Summe Mussfelder total, soll 18</t>
  </si>
  <si>
    <r>
      <t xml:space="preserve">kg/Tag bei Hochenergiefutter </t>
    </r>
    <r>
      <rPr>
        <sz val="10"/>
        <color rgb="FFFF0000"/>
        <rFont val="Arial"/>
        <family val="2"/>
      </rPr>
      <t>a)</t>
    </r>
  </si>
  <si>
    <t>Energieinhalt in MJ/kg*-0.074+2.71 ergibt die nötige Fütterungsmenge in % des Fischgewichtes</t>
  </si>
  <si>
    <t>Achtung: Die P-Fällung bei Kreislaufanlagen wird auf einen Restgehalt begrenzt.</t>
  </si>
  <si>
    <t>Übersetzungstabelle</t>
  </si>
  <si>
    <t>Diese Texte können verändert werden und sind dann direkt wirksamen</t>
  </si>
  <si>
    <t>Feld</t>
  </si>
  <si>
    <t>DE</t>
  </si>
  <si>
    <t>FR</t>
  </si>
  <si>
    <t>IT</t>
  </si>
  <si>
    <t>Blatt Fischzuchtanlage</t>
  </si>
  <si>
    <t>Titel</t>
  </si>
  <si>
    <t>Estimation des charges dans les eaux de pisciculture</t>
  </si>
  <si>
    <t>Adresse</t>
  </si>
  <si>
    <t>Name</t>
  </si>
  <si>
    <t>Nom:</t>
  </si>
  <si>
    <t>Strasse</t>
  </si>
  <si>
    <t>Rue:</t>
  </si>
  <si>
    <t>PLZ</t>
  </si>
  <si>
    <t>NPA:</t>
  </si>
  <si>
    <t>Ort</t>
  </si>
  <si>
    <t>Ville:</t>
  </si>
  <si>
    <t>Tel</t>
  </si>
  <si>
    <t>Tel:</t>
  </si>
  <si>
    <t>Natel</t>
  </si>
  <si>
    <t>Tel. Portable:</t>
  </si>
  <si>
    <t>Standort</t>
  </si>
  <si>
    <t>Site de l'entreprise:</t>
  </si>
  <si>
    <t>Seeeinzugsgebiet</t>
  </si>
  <si>
    <t>Milieu récepteur:</t>
  </si>
  <si>
    <t>Legende</t>
  </si>
  <si>
    <t>ce champ peut être remplis</t>
  </si>
  <si>
    <t>explications ou résultats de calculs</t>
  </si>
  <si>
    <t>conditions supplémentaires</t>
  </si>
  <si>
    <t>Indications/précisions</t>
  </si>
  <si>
    <t>Vous devez encore remplir les champs obligatoires</t>
  </si>
  <si>
    <t>Angaben zur Anlage, Blatt Fischzucht</t>
  </si>
  <si>
    <t>Titel Angaben zur Anlage</t>
  </si>
  <si>
    <t>Type d'installation :</t>
  </si>
  <si>
    <t>Auf Blatt Grundlagen</t>
  </si>
  <si>
    <t>Auswahlliste Anlagetypen</t>
  </si>
  <si>
    <t>a) circuit ouvert</t>
  </si>
  <si>
    <t>c) circuit fermé</t>
  </si>
  <si>
    <t>Pour les installations en circuit ouvert (à flux traversant) et en étang, il est nécessaire de mettre en place des mesures afin d'empêcher la fuite des animaux élevés. Les indications ainsi que les plans sont à déposer avec une demande.</t>
  </si>
  <si>
    <t>Auf Blatt Fischzucht</t>
  </si>
  <si>
    <t>Commercial</t>
  </si>
  <si>
    <t>Elevage pour consommation personnelle</t>
  </si>
  <si>
    <t>Blatt Fischzucht, Angaben zur Fischzucht</t>
  </si>
  <si>
    <t>Text Titel</t>
  </si>
  <si>
    <t>3. Informations sur la pisciculture</t>
  </si>
  <si>
    <t>Espèce élevée (par ex. truite, sandre, saumon, etc.)</t>
  </si>
  <si>
    <t>Nombre de poissons max. dans la pisciculture</t>
  </si>
  <si>
    <t>Quantité de poisson max. dans la pisciculture</t>
  </si>
  <si>
    <t>Capacité max. en kg de poisson de la pisciculture</t>
  </si>
  <si>
    <t>Hinweistext graues Feld</t>
  </si>
  <si>
    <t>Teil Fütterung, Titel</t>
  </si>
  <si>
    <t>Alimentation :</t>
  </si>
  <si>
    <t>Taux d'énergie de l'aliment utilisé</t>
  </si>
  <si>
    <t>Einheit kg/Tag</t>
  </si>
  <si>
    <t>kg/jour</t>
  </si>
  <si>
    <t>theor. Futtermenge</t>
  </si>
  <si>
    <t>theoretisch notwendige Futtermenge</t>
  </si>
  <si>
    <t>Quantité d'aliment théoriquement nécessaire</t>
  </si>
  <si>
    <t>Text vor Bemerkungsfeld</t>
  </si>
  <si>
    <t>graues Erläuterungsfeld</t>
  </si>
  <si>
    <t>Es ist die voraussichtliche maximale Belastung des Gewässers massgebend, daher muss die maximale Futtermenge eingetragen werden. Den geringeren Futtergaben während der Aufzuchtphase und den Ungenauigkeiten dieser Abschätzung, wird durch die Klasse 'kritisch' Rechnung getragen.</t>
  </si>
  <si>
    <t>Anlagengrösse</t>
  </si>
  <si>
    <t>Volume total des bassins d'élevage</t>
  </si>
  <si>
    <t>Densité d'élevage en kg/m3</t>
  </si>
  <si>
    <t>Volume total de tous les bassins existants</t>
  </si>
  <si>
    <t>Débit de la pisciculture</t>
  </si>
  <si>
    <t>m3/jour</t>
  </si>
  <si>
    <t>l/seconde</t>
  </si>
  <si>
    <t>Calcul du débit:</t>
  </si>
  <si>
    <t>entweder l/min</t>
  </si>
  <si>
    <t>soit en l/min</t>
  </si>
  <si>
    <t>oder l/s</t>
  </si>
  <si>
    <t>soit en l/s</t>
  </si>
  <si>
    <t xml:space="preserve"> m3/Tag</t>
  </si>
  <si>
    <t>Teil 4</t>
  </si>
  <si>
    <t>4. Données sur la source d'eau</t>
  </si>
  <si>
    <t>Nom de la source, du cours d'eau ou du lac</t>
  </si>
  <si>
    <t>Débit résiduel dans le cours d'eau juste avant le déversement (Q347) l/s</t>
  </si>
  <si>
    <t>Comment le débit du cours d'eau a été calculé (Estimé/Mesuré)</t>
  </si>
  <si>
    <t>Tabelle Gewässerbelastung</t>
  </si>
  <si>
    <t>Auswahlfeld, Liste Qwasser</t>
  </si>
  <si>
    <t>estimé</t>
  </si>
  <si>
    <t>mesuré</t>
  </si>
  <si>
    <t>Tabelle Fischzuchtanlage</t>
  </si>
  <si>
    <t>Hinweisfeld</t>
  </si>
  <si>
    <t>Abschnitttitel</t>
  </si>
  <si>
    <t>Tabellenüberschrift</t>
  </si>
  <si>
    <t>Classification *</t>
  </si>
  <si>
    <t>Überschrift Vorbelastung DOC</t>
  </si>
  <si>
    <t>Charge avec COD</t>
  </si>
  <si>
    <t>Tabellenblatt Gewässerbelastung</t>
  </si>
  <si>
    <t>Auswahlfeld DOC: Liste DOCVorbel</t>
  </si>
  <si>
    <t>faible</t>
  </si>
  <si>
    <t>élevé</t>
  </si>
  <si>
    <t>Tabellenblatt Fischzuchtanlage</t>
  </si>
  <si>
    <t>Tabelle Vorbelastung Bach</t>
  </si>
  <si>
    <t>Type d'analyse (ponctuel, continu)</t>
  </si>
  <si>
    <t>Klassierung der Gewässerqualität gemäss Modulstufenkonzept des BAFU</t>
  </si>
  <si>
    <t>classification de la qualité des eaux selon le système modulaire gradué de l'OFEV</t>
  </si>
  <si>
    <t>Abschnitt 5. Titel</t>
  </si>
  <si>
    <t>Zeilentitel</t>
  </si>
  <si>
    <t>Tabellenblatt Grundlagen</t>
  </si>
  <si>
    <t>Auswahlfeld Liste Schlamm</t>
  </si>
  <si>
    <t>Typ und Erläuterungstext</t>
  </si>
  <si>
    <t>Si les MES ne sont pas filtrées, la charge des eaux de rejet augmente fortement</t>
  </si>
  <si>
    <t>b) bassin de décantation séparé</t>
  </si>
  <si>
    <t>c) filtre à bande</t>
  </si>
  <si>
    <t>d) filtre à tambour / à disque</t>
  </si>
  <si>
    <t>Das Ablaufwasser fliesst durch eine rotierende, mit Filtergaze bespannte Trommel oder Siebscheiben ab (Maschenweite 60 bis 100 Mikrometer). Dies reduziert den Gehalt an ungelösten Stoffen (GUS) um etwa 60 % und vermindert die Rücklösung von Kohlenstoff-, Stickstoff- und Phosphorverbindungen</t>
  </si>
  <si>
    <t>Titel Zeile</t>
  </si>
  <si>
    <t>Auswahlliste Entwässerung</t>
  </si>
  <si>
    <t>a) décanteur lamellaire, filtre presse ou similaire</t>
  </si>
  <si>
    <t>Les boues sont éloignées en permanence des bassins d'élevage</t>
  </si>
  <si>
    <t>b) pas de deshydratation immédiate</t>
  </si>
  <si>
    <t>Hinweisfelder</t>
  </si>
  <si>
    <t>Text neben Grafik</t>
  </si>
  <si>
    <t>Grafiküberschriften und Beschriftungen</t>
  </si>
  <si>
    <t>Titel 6.</t>
  </si>
  <si>
    <t>6. Indications sur les effluents après traitement</t>
  </si>
  <si>
    <t>Tabelle, Zeilenbeschriftung</t>
  </si>
  <si>
    <t>Tab. Grundlagen</t>
  </si>
  <si>
    <t>Auswahlfeld P Liste PhosphorF, Tab Grundlagen</t>
  </si>
  <si>
    <t>d) aucun</t>
  </si>
  <si>
    <t>Text dazu</t>
  </si>
  <si>
    <t>Une déphosphatation est envisagée seulement dans un circuit fermé</t>
  </si>
  <si>
    <t>Bei Kreislaufanlagen  kann eine Phosphor-Fällung notwendig sein, insbesondere im Einzugesgebiet der Mittellandseen.</t>
  </si>
  <si>
    <t>Text unter Liste</t>
  </si>
  <si>
    <t>Auswahl Nachbehandlung</t>
  </si>
  <si>
    <t>Liste Vorbeh, Tab. Grundlagen</t>
  </si>
  <si>
    <t>a) aucun</t>
  </si>
  <si>
    <t>Une filtration des eaux peut réduire les charges (sauf dans les étangs)</t>
  </si>
  <si>
    <t>b) bassin de décantation</t>
  </si>
  <si>
    <t>c) petite station d'épuration (station d'épuration végétale ou filtration biologique)</t>
  </si>
  <si>
    <t>Mit einer Kleinkläranlage können Ammonium und GUS um etwa 80% bis 90% reduziert werden, CSB und DOC um etwa 60% und die übrigen gelösten Stoffe um etwa 1/3. (Hydraulische Belastung bei Pfanzenkläranlagen maximal 7 m3/Tag und m2).</t>
  </si>
  <si>
    <t>Avec une petite station d'épuration les charges en ammonium et en MES peuvent être réduites de 80 à 90%, les charges en DCO et COD de 60% et les autres matières dissoutes peuvent aussi être réduites d'env. 1/3</t>
  </si>
  <si>
    <t>Titel7</t>
  </si>
  <si>
    <t>7. Résutats et évaluation</t>
  </si>
  <si>
    <t>Hilfetexte</t>
  </si>
  <si>
    <t>Beschriftung: Parameter in Tab Grundlagen AI 123</t>
  </si>
  <si>
    <t>Paramètres</t>
  </si>
  <si>
    <t>ab AI 123</t>
  </si>
  <si>
    <t>N tot</t>
  </si>
  <si>
    <t>P dissous</t>
  </si>
  <si>
    <t>P tot</t>
  </si>
  <si>
    <t>DCO</t>
  </si>
  <si>
    <t>MES</t>
  </si>
  <si>
    <t>COD</t>
  </si>
  <si>
    <t>Spaltenüberschriften</t>
  </si>
  <si>
    <t>augmentation des concentrations dans les eaux de surface</t>
  </si>
  <si>
    <t>concentrations aproximatives dans les eaux</t>
  </si>
  <si>
    <t>classification *</t>
  </si>
  <si>
    <t>évalutation</t>
  </si>
  <si>
    <t>Bei Feld GUS</t>
  </si>
  <si>
    <t>Charge en P selon la biomasse maximale en poisson dans la pisiculture</t>
  </si>
  <si>
    <t>P dissous g/j</t>
  </si>
  <si>
    <t>P tot g/j</t>
  </si>
  <si>
    <t>Textfeld grau</t>
  </si>
  <si>
    <t>Vous n'avez pas remplis tous les champs obligatoires ce qui peut amener à une mauvaise évaluation. Remplissez tous les champs obligatoires !</t>
  </si>
  <si>
    <t>Verweise aus Tab Gewässerbelastung</t>
  </si>
  <si>
    <t>grauer Block B64-B68</t>
  </si>
  <si>
    <t>ab B64</t>
  </si>
  <si>
    <t>und Beurteilungstext</t>
  </si>
  <si>
    <t>Ab A58</t>
  </si>
  <si>
    <t>Titel Beurteilung (rosa Feld)</t>
  </si>
  <si>
    <t>Titel 8</t>
  </si>
  <si>
    <t>8. Obligations et conditions</t>
  </si>
  <si>
    <t>Text unter Titel</t>
  </si>
  <si>
    <t>Titel vor Auflagen</t>
  </si>
  <si>
    <t>Auflagenblock</t>
  </si>
  <si>
    <t>Les charges des eaux en sortie de pisciculture doivent être controlées. Des analyses doivent régulièrement être effectuées (matières organiques, substances nutritives, MES). Les détails sont fixés dans l'autorisation</t>
  </si>
  <si>
    <t>La transformation du poisson (abattage etc.) n'est pas pris en compte ici. D'autres conditions suplémentaires peuvent être demandées.</t>
  </si>
  <si>
    <t>Titel spez. Auflagen</t>
  </si>
  <si>
    <t>in Liste Zusatzauflagen</t>
  </si>
  <si>
    <t>Spalte 1</t>
  </si>
  <si>
    <t>Spalte 2</t>
  </si>
  <si>
    <t>Aucune autres eaux polluées telles que les eaux de nettoyage, de traitement ou de désinfection ne doivent être déversées avec les eaux de rejet.</t>
  </si>
  <si>
    <t>Reserve</t>
  </si>
  <si>
    <t>Spalte 3</t>
  </si>
  <si>
    <t>Spalte 4</t>
  </si>
  <si>
    <t>b) étang</t>
  </si>
  <si>
    <t>Im Einzugsgebiet der Mittelllandseen muss eine Phosphorfällung durchgeführt werden.</t>
  </si>
  <si>
    <t>Sprachen</t>
  </si>
  <si>
    <t>1. Adresse:</t>
  </si>
  <si>
    <t>Auswahl Seeeinzugsgebiet</t>
  </si>
  <si>
    <t>Liste EZSee, Blatt Grundlagen ab R240</t>
  </si>
  <si>
    <t>Index</t>
  </si>
  <si>
    <t>2. Information sur la pisciculture</t>
  </si>
  <si>
    <t>Maximale eingesetzte Futtermenge pro Tag</t>
  </si>
  <si>
    <t>mindesten 10 % des Volumens</t>
  </si>
  <si>
    <t>Beurteilungsstufen Modulstufenkonzept</t>
  </si>
  <si>
    <t>très bon</t>
  </si>
  <si>
    <t>bon</t>
  </si>
  <si>
    <t>moyen</t>
  </si>
  <si>
    <t>médiocre</t>
  </si>
  <si>
    <t>mauvais</t>
  </si>
  <si>
    <t>Parameterbeschriftungen</t>
  </si>
  <si>
    <t>P tot.</t>
  </si>
  <si>
    <t>Grafiktitel:</t>
  </si>
  <si>
    <t>Abweichung von der zulässigen Belastung
unterhalb Grün: voraussichtlich tragbar
über Rot: nicht tragbar
Balkenüberschrift: Überschreitungsfaktor</t>
  </si>
  <si>
    <t>théoriquement acceptable</t>
  </si>
  <si>
    <t>critique</t>
  </si>
  <si>
    <t>pas acceptable</t>
  </si>
  <si>
    <t>Index See</t>
  </si>
  <si>
    <t>Index Anlagetyp</t>
  </si>
  <si>
    <t>Index Zuchtart</t>
  </si>
  <si>
    <t>diese Felder haben eine Auswahlliste</t>
  </si>
  <si>
    <t>Hinweis unter Legend, leer</t>
  </si>
  <si>
    <t>Index Wassermenge</t>
  </si>
  <si>
    <t>Index DOC</t>
  </si>
  <si>
    <t>nicht im Einzugsgebiet der Mittellandseen des Kantons LU</t>
  </si>
  <si>
    <t>Index Schlamm</t>
  </si>
  <si>
    <t>Index Entwaesserung</t>
  </si>
  <si>
    <t>Index P-Fällung</t>
  </si>
  <si>
    <t>Index Nachbehandlung</t>
  </si>
  <si>
    <t>trop mauvais</t>
  </si>
  <si>
    <t>Spezifische Auflagen und Bedingungen:</t>
  </si>
  <si>
    <t>Obligations et conditions spéciales:</t>
  </si>
  <si>
    <t>Ici, vous pouvez observer les effets lorsque vous changez les systèmes de filtration mécanique (MES) ou biologique</t>
  </si>
  <si>
    <t>5. Filtration des MES (Matières en suspension)</t>
  </si>
  <si>
    <t>Attention, la déphosphatation en circuit fermé est limitée par un taux résiduel</t>
  </si>
  <si>
    <t>Type de production:</t>
  </si>
  <si>
    <t>Dimensionnement de la pisciculture:</t>
  </si>
  <si>
    <t>Charges du cours d'eau, à remplir uniquement si connu:</t>
  </si>
  <si>
    <t>COD (carbone organique dissous)</t>
  </si>
  <si>
    <t>NO3-N (Nitrate-N)</t>
  </si>
  <si>
    <t>Type de filtration:</t>
  </si>
  <si>
    <t xml:space="preserve">Wenn die eingesetzte Futtermenge von der theoretischen Menge abweicht, bitte begründen: </t>
  </si>
  <si>
    <t xml:space="preserve">Si la quantité d'aliment utilisé s'écarte de la quantité théorique, essayez svp d'expliquer pourquoi: </t>
  </si>
  <si>
    <t>valeur limite 20 mg/l</t>
  </si>
  <si>
    <t>Légende</t>
  </si>
  <si>
    <t>Pas dans le bassin versant des lacs du canton de LU</t>
  </si>
  <si>
    <t>Dans le bassin-versant du lac Baldeggersee ou Hallwilersee</t>
  </si>
  <si>
    <t>Dans le bassin-versant du lac Sempachersee</t>
  </si>
  <si>
    <t>Une déphosphatation est nécessaire à partir de (en kg/an) :</t>
  </si>
  <si>
    <t>Installation avec un écoulement d'eau continue (bassins en série, à la chaine ou à flux traversant).</t>
  </si>
  <si>
    <t>Eau stagnante, ne s'écoulant pas forcément.</t>
  </si>
  <si>
    <t>Système où l'eau est recirculée dans les bassins d'élevage après avoir été traitée (filtre biologique et mécanique). La séparation et l'évacuation des MES est automatiquement pris en compte.</t>
  </si>
  <si>
    <t>Pour les installations en circuit ouvert (à flux traversant) et en étang, il est necessaire de mettre en place des mesures afin d'empêcher la fuite des animaux élevés. Les indications ainsi que les plans sont à déposer avec une demande.</t>
  </si>
  <si>
    <t>Les exploitants de piscicultures de type commercial doivent avoir suivis ou suivre des cours de formation spécifique.</t>
  </si>
  <si>
    <t>Nombre</t>
  </si>
  <si>
    <t>La capacité max. doit être plus élevée pour les élevages de sandre et de tilapia.</t>
  </si>
  <si>
    <t>(Aliment à haute énergie contient environ 23.4 MJ/kg)</t>
  </si>
  <si>
    <t>Quantité d'aliment max. par jour</t>
  </si>
  <si>
    <t>La charge max. probable des eaux de rejets est détermiée par la quantité d'aliment. La quantité d'aliment distribué durant les différentes phases d'élevage ainsi que l'inexactitude des estimations sont prises en comptre dans la classe 'critique'</t>
  </si>
  <si>
    <t>Au moins 10 % du volume</t>
  </si>
  <si>
    <t>NH4-N (Ammonium-N)</t>
  </si>
  <si>
    <t>P dissous (Phosphore dissous)</t>
  </si>
  <si>
    <t>P tot. (Phosphore total)</t>
  </si>
  <si>
    <t>a) pas de filtration des MES</t>
  </si>
  <si>
    <t>Les matières solides sont retenues dans le décanteur avec un écoulement continu. Cela réduit la charge des matières non dissoutes d'env. 30% et diminue le relargage des composés carbonés, azotés et phosphorés.</t>
  </si>
  <si>
    <t>Filtre à bande : tamis en bande circulaire (taille des mailles de 60 à 100 micromètres). Ce filtre réduit la teneur des matières non dissoutes (MES) d'env. 50% et diminue le retour de charge des composés carbonés, azotés et phosphorés.</t>
  </si>
  <si>
    <t>Les eaux de rejets s'écoulent à travers un système rotatif : tambour munis d'une membrane filtrante ou d'un tamis (taille des mailles de 60 à 100 micromètres). Ce filtre réduit la teneur des matières non dissoutes (MES) d'env. 60% et diminue le retour de charge des composés carbonés, azotés et phosphorés.</t>
  </si>
  <si>
    <t>Evacuation des boues :</t>
  </si>
  <si>
    <t>Si les MES ne sont pas filtrées et évacuées, un retour de charges s'effectue dans les eaux de rejet. De 30 jusqu'à 40% de la charge en MES peuvent être restitués.</t>
  </si>
  <si>
    <t>Une évacuation des boues n'est pas possible lorsqu'il n'y as pas de filtration pour les MES.</t>
  </si>
  <si>
    <t>Dans un circuit fermé, la filtration des MES et l'évacuation des boues sont automatiquement pris en compte.</t>
  </si>
  <si>
    <t>Dans une pisciculture d'étang, une filtration des MES n'est pas réalisable car cela n'a pas d'influence.</t>
  </si>
  <si>
    <t xml:space="preserve">Situation selon les charges autorisées
en vert  : acceptable
en rouge : pas acceptable
en titre : cause du dépassement
</t>
  </si>
  <si>
    <t>Déphosphatation dans un système recirculé</t>
  </si>
  <si>
    <t>e) déphosphatation</t>
  </si>
  <si>
    <t>Dans les systèmes en eau recirculée, une déphosphatation n'est pas nécessaire, notamment dans le bassin versant des lacs de LU</t>
  </si>
  <si>
    <t>Type de traitement complémentaire</t>
  </si>
  <si>
    <t>Avec un bassin de décantation, la charge des matières en suspension (MES) peut être réduite de 2/3 et la charge des matières dissoutes de 1/3.</t>
  </si>
  <si>
    <t>Classification conforme à la qualtié des eaux du système modulaire gradué de l'OFEV</t>
  </si>
  <si>
    <t>charges suplémentaires aproximatives dans les eaux en sortie de la pisciculture</t>
  </si>
  <si>
    <t>Une déphosphatation est probablement nécessaire</t>
  </si>
  <si>
    <t>Précisions :</t>
  </si>
  <si>
    <t>Vous pouvez optimiser l'élimination des boues, l'effet croit de a) à d) (point 4).</t>
  </si>
  <si>
    <t>Séparez les boues avec un décanteur lamellaire ou similaire (point 4).</t>
  </si>
  <si>
    <t>Pour les systèmes en circuit fermé, vous pouvez effectuer une déphosphatation.</t>
  </si>
  <si>
    <t>Vous pouvez effectuer un traitement complémentaire des eaux, l'effet croit de a) à c).</t>
  </si>
  <si>
    <t>Le déversement des eaux de la pisciculture dans les milieux aquatiques est probablement possible.</t>
  </si>
  <si>
    <t>Le déversement des eaux de la pisciculture n'est probablement pas possible. Réduisez les charges en mettant en place les mesures nécessaires (selon les instructions).</t>
  </si>
  <si>
    <t>Les charges sont élevées et critiques. Veuillez présenter le projet au Service de l'environnement afin de savoir si la création d'une pisciculture est possible.</t>
  </si>
  <si>
    <t>Le déversement des eaux de pisciculture est impossible.</t>
  </si>
  <si>
    <t>Résumé de l'évaluation du déversement des rejets dans le cours d'eau :</t>
  </si>
  <si>
    <t>La feuille d'instruction mentionne les obligations et les conditions générales les plus importantes. Vous trouverez ci-dessous des conditions générales supplémentaires et spécifiques au projet d'une éventuelle demande d'autorisation. Ceci n'est pas exaustif, d'autres conditions peuvent être ajoutées ou modifiées.</t>
  </si>
  <si>
    <t>Obligations et conditions générales :</t>
  </si>
  <si>
    <t>Les indications et documents présentés sont obligatoires. Des modifications du projet ou de la réalisation qui ne correspondent pas aux indications présentées nécessitent le consentement du Service de l'environnement.</t>
  </si>
  <si>
    <t>En pisciculture, seuls les aliments pauvres en phophore peuvent être utilisés.</t>
  </si>
  <si>
    <t>Les boues ou les MES de pisciculture doivent être utilisées à l'épandage agricole, être amenées dans une installation de biogaz ou dans un digesteur d'une station d'épuration.</t>
  </si>
  <si>
    <t>Il y a un procès-verbal de l'exploitation à tenir dans lequel il faut retranscrire les données de production telles que la quantité de poisson produite, la consommation d'aliment, la quantité de boues et leurs éliminations.</t>
  </si>
  <si>
    <t>Les dysfonctionnements et écarts de l'activité normale de l'exploitation doivent immédiatement être remédiés et signalés au Service de l'environnement.</t>
  </si>
  <si>
    <t>Les boues doivent être utilisées pour l'épandage agricole ou pour la production de biogaz.</t>
  </si>
  <si>
    <t>Les boues de pisciculture d'étang ne doivent pas être déversées dans les eaux de surface, elles doivent être utilisées en agriculture.</t>
  </si>
  <si>
    <t>Dans le bassin-versant des lacs de LU, une déphosphatation est nécessaire.</t>
  </si>
  <si>
    <t>Les eaux de dérivation du circuit fermé doivent d'abord passer à travers les filtres de la pisciculture (Biofiltre) avant d'être rejetées.</t>
  </si>
  <si>
    <t>L'eau clair provenant de la filtration des MES et d'éventuels filtres presse doit être redirigée aux filtres mécaniques et biologiques.</t>
  </si>
  <si>
    <t>ce champ doit être complété</t>
  </si>
  <si>
    <t>ce champ est une liste à choix</t>
  </si>
  <si>
    <t>Vérifiez si un déversement dans un cours d'eau qui possède un débit plus important est possible.</t>
  </si>
  <si>
    <t>Stand 06.04.2018</t>
  </si>
  <si>
    <t>Danksagung:</t>
  </si>
  <si>
    <t>Lucie Fauquet</t>
  </si>
  <si>
    <t xml:space="preserve">  </t>
  </si>
  <si>
    <t>Département de la mobilité, du territoire et de l’environnement</t>
  </si>
  <si>
    <t>Service de l’environnement</t>
  </si>
  <si>
    <t>Section protection des eaux</t>
  </si>
  <si>
    <t>Rue des Creusets 5</t>
  </si>
  <si>
    <t>CH – 1951 Sion</t>
  </si>
  <si>
    <t>Tél 1 : </t>
  </si>
  <si>
    <t>027 606 31 49</t>
  </si>
  <si>
    <t>Fax : </t>
  </si>
  <si>
    <t>027 606 00 00</t>
  </si>
  <si>
    <t>email : </t>
  </si>
  <si>
    <t>lucie.fauquet@admin.vs.ch</t>
  </si>
  <si>
    <t>Daniel Obrist</t>
  </si>
  <si>
    <t>Departement für Mobilität, Raumentwicklung und Umwelt</t>
  </si>
  <si>
    <t>Dienststelle für Umwelt</t>
  </si>
  <si>
    <t>Sektion Gewässer</t>
  </si>
  <si>
    <t>CH – 1950 Sion</t>
  </si>
  <si>
    <t>daniel.obrist@admin.vs.ch</t>
  </si>
  <si>
    <t>Fax:</t>
  </si>
  <si>
    <t>027 606 31 38</t>
  </si>
  <si>
    <t>027 606 31 54</t>
  </si>
  <si>
    <t xml:space="preserve">Die Übersetzung ins Französische wurde durch Frau Lucie Fauquet und Herr Daniel Obrist von der Dienststelle Umwelt des Kanton Wallis vorgenommen, vielen Dank dafür. </t>
  </si>
  <si>
    <t>lukas.grauwiler@lu.ch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</si>
</sst>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38" x14ac:knownFonts="1">
    <font>
      <sz val="10"/>
      <color theme="1"/>
      <name val="Arial"/>
      <family val="2"/>
    </font>
    <font>
      <b/>
      <sz val="10"/>
      <color theme="1"/>
      <name val="Arial"/>
      <family val="2"/>
    </font>
    <font>
      <b/>
      <sz val="14"/>
      <name val="Arial"/>
      <family val="2"/>
    </font>
    <font>
      <sz val="10"/>
      <name val="Arial"/>
      <family val="2"/>
    </font>
    <font>
      <b/>
      <sz val="10"/>
      <name val="Arial"/>
      <family val="2"/>
    </font>
    <font>
      <b/>
      <sz val="12"/>
      <name val="Arial"/>
      <family val="2"/>
    </font>
    <font>
      <sz val="10"/>
      <color theme="0" tint="-0.249977111117893"/>
      <name val="Arial"/>
      <family val="2"/>
    </font>
    <font>
      <b/>
      <sz val="11"/>
      <name val="Arial"/>
      <family val="2"/>
    </font>
    <font>
      <sz val="9"/>
      <name val="Arial"/>
      <family val="2"/>
    </font>
    <font>
      <vertAlign val="subscript"/>
      <sz val="10"/>
      <name val="Arial"/>
      <family val="2"/>
    </font>
    <font>
      <sz val="11"/>
      <name val="Arial"/>
      <family val="2"/>
    </font>
    <font>
      <b/>
      <sz val="11"/>
      <color theme="1"/>
      <name val="Arial"/>
      <family val="2"/>
    </font>
    <font>
      <b/>
      <sz val="10"/>
      <color theme="5" tint="-0.249977111117893"/>
      <name val="Arial"/>
      <family val="2"/>
    </font>
    <font>
      <b/>
      <u/>
      <sz val="10"/>
      <name val="Arial"/>
      <family val="2"/>
    </font>
    <font>
      <sz val="10"/>
      <color theme="5" tint="-0.249977111117893"/>
      <name val="Arial"/>
      <family val="2"/>
    </font>
    <font>
      <sz val="10"/>
      <color rgb="FFFF0000"/>
      <name val="Arial"/>
      <family val="2"/>
    </font>
    <font>
      <b/>
      <sz val="10"/>
      <color rgb="FFFF0000"/>
      <name val="Arial"/>
      <family val="2"/>
    </font>
    <font>
      <b/>
      <sz val="11"/>
      <color rgb="FFFF0000"/>
      <name val="Arial"/>
      <family val="2"/>
    </font>
    <font>
      <b/>
      <sz val="10"/>
      <color rgb="FF00B050"/>
      <name val="Arial"/>
      <family val="2"/>
    </font>
    <font>
      <b/>
      <sz val="10"/>
      <color theme="0" tint="-0.14999847407452621"/>
      <name val="Arial"/>
      <family val="2"/>
    </font>
    <font>
      <sz val="10"/>
      <color theme="0" tint="-0.14999847407452621"/>
      <name val="Arial"/>
      <family val="2"/>
    </font>
    <font>
      <b/>
      <sz val="12"/>
      <color theme="1"/>
      <name val="Arial"/>
      <family val="2"/>
    </font>
    <font>
      <sz val="9"/>
      <color theme="1"/>
      <name val="Arial"/>
      <family val="2"/>
    </font>
    <font>
      <b/>
      <sz val="16"/>
      <color theme="1"/>
      <name val="Arial"/>
      <family val="2"/>
    </font>
    <font>
      <sz val="8"/>
      <color theme="1"/>
      <name val="Arial"/>
      <family val="2"/>
    </font>
    <font>
      <sz val="10"/>
      <color theme="9" tint="-0.249977111117893"/>
      <name val="Arial"/>
      <family val="2"/>
    </font>
    <font>
      <sz val="10"/>
      <color rgb="FF000000"/>
      <name val="Arial"/>
      <family val="2"/>
    </font>
    <font>
      <sz val="11"/>
      <color theme="1"/>
      <name val="Arial"/>
      <family val="2"/>
    </font>
    <font>
      <sz val="10"/>
      <color theme="4" tint="0.79998168889431442"/>
      <name val="Arial"/>
      <family val="2"/>
    </font>
    <font>
      <b/>
      <sz val="9"/>
      <color theme="0" tint="-0.14999847407452621"/>
      <name val="Arial"/>
      <family val="2"/>
    </font>
    <font>
      <sz val="9"/>
      <color theme="0" tint="-0.14999847407452621"/>
      <name val="Arial"/>
      <family val="2"/>
    </font>
    <font>
      <sz val="11"/>
      <color theme="0" tint="-0.14999847407452621"/>
      <name val="Arial"/>
      <family val="2"/>
    </font>
    <font>
      <sz val="12"/>
      <color theme="1"/>
      <name val="Arial"/>
      <family val="2"/>
    </font>
    <font>
      <u/>
      <sz val="10"/>
      <color theme="10"/>
      <name val="Arial"/>
      <family val="2"/>
    </font>
    <font>
      <sz val="7.5"/>
      <color rgb="FF000000"/>
      <name val="Arial Narrow"/>
      <family val="2"/>
    </font>
    <font>
      <b/>
      <sz val="7.5"/>
      <color rgb="FF000000"/>
      <name val="Arial Narrow"/>
      <family val="2"/>
    </font>
    <font>
      <b/>
      <sz val="7.5"/>
      <name val="Arial Narrow"/>
      <family val="2"/>
    </font>
    <font>
      <sz val="7.5"/>
      <name val="Arial Narrow"/>
      <family val="2"/>
    </font>
  </fonts>
  <fills count="34">
    <fill>
      <patternFill patternType="none"/>
    </fill>
    <fill>
      <patternFill patternType="gray125"/>
    </fill>
    <fill>
      <patternFill patternType="solid">
        <fgColor theme="2" tint="-0.249977111117893"/>
        <bgColor indexed="64"/>
      </patternFill>
    </fill>
    <fill>
      <patternFill patternType="solid">
        <fgColor theme="1"/>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00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indexed="52"/>
        <bgColor indexed="64"/>
      </patternFill>
    </fill>
    <fill>
      <patternFill patternType="solid">
        <fgColor theme="9"/>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39997558519241921"/>
        <bgColor indexed="64"/>
      </patternFill>
    </fill>
    <fill>
      <gradientFill degree="45">
        <stop position="0">
          <color theme="9" tint="0.40000610370189521"/>
        </stop>
        <stop position="1">
          <color theme="9" tint="-0.49803155613879818"/>
        </stop>
      </gradient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8" tint="0.79998168889431442"/>
        <bgColor auto="1"/>
      </patternFill>
    </fill>
  </fills>
  <borders count="70">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style="double">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rgb="FF000000"/>
      </bottom>
      <diagonal/>
    </border>
    <border>
      <left/>
      <right/>
      <top style="medium">
        <color rgb="FF000000"/>
      </top>
      <bottom/>
      <diagonal/>
    </border>
  </borders>
  <cellStyleXfs count="2">
    <xf numFmtId="0" fontId="0" fillId="0" borderId="0"/>
    <xf numFmtId="0" fontId="33" fillId="0" borderId="0" applyNumberFormat="0" applyFill="0" applyBorder="0" applyAlignment="0" applyProtection="0"/>
  </cellStyleXfs>
  <cellXfs count="108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0" fillId="0" borderId="0" xfId="0" applyBorder="1" applyProtection="1"/>
    <xf numFmtId="0" fontId="0" fillId="0" borderId="0" xfId="0" applyBorder="1" applyAlignment="1" applyProtection="1"/>
    <xf numFmtId="0" fontId="3" fillId="0" borderId="0" xfId="0" applyFont="1" applyAlignment="1" applyProtection="1">
      <alignment vertical="top"/>
    </xf>
    <xf numFmtId="0" fontId="0" fillId="0" borderId="0" xfId="0" applyFill="1" applyBorder="1" applyAlignment="1" applyProtection="1"/>
    <xf numFmtId="0" fontId="4" fillId="0" borderId="0" xfId="0" quotePrefix="1" applyFont="1" applyFill="1" applyBorder="1" applyAlignment="1" applyProtection="1">
      <alignment horizontal="left"/>
    </xf>
    <xf numFmtId="0" fontId="4" fillId="0" borderId="0" xfId="0" applyFont="1" applyFill="1" applyBorder="1" applyAlignment="1" applyProtection="1"/>
    <xf numFmtId="0" fontId="1" fillId="0" borderId="0" xfId="0" applyFont="1"/>
    <xf numFmtId="0" fontId="0" fillId="0" borderId="0" xfId="0"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center" vertical="center"/>
    </xf>
    <xf numFmtId="0" fontId="0" fillId="0" borderId="0" xfId="0" applyBorder="1"/>
    <xf numFmtId="0" fontId="3" fillId="0" borderId="0" xfId="0" applyFont="1" applyBorder="1" applyAlignment="1" applyProtection="1">
      <alignment vertical="top"/>
    </xf>
    <xf numFmtId="0" fontId="0" fillId="0" borderId="0" xfId="0" applyAlignment="1">
      <alignment wrapText="1"/>
    </xf>
    <xf numFmtId="2" fontId="0" fillId="0" borderId="0" xfId="0" applyNumberFormat="1" applyFill="1" applyBorder="1" applyAlignment="1" applyProtection="1">
      <alignment horizontal="center" vertical="center"/>
    </xf>
    <xf numFmtId="0" fontId="0" fillId="0" borderId="0" xfId="0" applyFill="1" applyAlignment="1">
      <alignment horizontal="center" vertical="center"/>
    </xf>
    <xf numFmtId="0" fontId="0" fillId="0" borderId="0" xfId="0" applyFill="1" applyBorder="1" applyAlignment="1" applyProtection="1">
      <alignment horizontal="right"/>
    </xf>
    <xf numFmtId="0" fontId="0" fillId="0" borderId="0" xfId="0" applyBorder="1" applyAlignment="1" applyProtection="1">
      <alignment vertical="center"/>
    </xf>
    <xf numFmtId="0" fontId="1" fillId="0" borderId="0" xfId="0" applyFont="1" applyFill="1" applyBorder="1" applyAlignment="1" applyProtection="1">
      <alignment horizontal="left"/>
    </xf>
    <xf numFmtId="0" fontId="0" fillId="0" borderId="0" xfId="0" applyAlignment="1">
      <alignment horizontal="center"/>
    </xf>
    <xf numFmtId="0" fontId="0" fillId="3" borderId="0" xfId="0" applyFill="1"/>
    <xf numFmtId="0" fontId="0" fillId="5" borderId="0" xfId="0" applyFill="1"/>
    <xf numFmtId="0" fontId="0" fillId="0" borderId="0" xfId="0" applyFont="1"/>
    <xf numFmtId="0" fontId="0" fillId="0" borderId="0" xfId="0" applyFont="1" applyAlignment="1">
      <alignment horizontal="center" vertical="center"/>
    </xf>
    <xf numFmtId="1" fontId="0" fillId="0" borderId="0" xfId="0" applyNumberFormat="1" applyAlignment="1">
      <alignment horizontal="center" vertical="center"/>
    </xf>
    <xf numFmtId="1" fontId="0" fillId="0" borderId="0" xfId="0" applyNumberFormat="1" applyAlignment="1">
      <alignment horizontal="center"/>
    </xf>
    <xf numFmtId="1" fontId="0" fillId="0" borderId="0" xfId="0" applyNumberFormat="1"/>
    <xf numFmtId="0" fontId="0" fillId="0" borderId="0" xfId="0" applyFill="1"/>
    <xf numFmtId="0" fontId="0" fillId="0" borderId="0" xfId="0" applyAlignment="1">
      <alignment horizontal="right"/>
    </xf>
    <xf numFmtId="0" fontId="0" fillId="0" borderId="0" xfId="0" applyFill="1" applyBorder="1"/>
    <xf numFmtId="0" fontId="0" fillId="4" borderId="0" xfId="0" applyFill="1" applyAlignment="1">
      <alignment horizontal="center" vertical="center"/>
    </xf>
    <xf numFmtId="0" fontId="1" fillId="8" borderId="0" xfId="0" applyFont="1" applyFill="1"/>
    <xf numFmtId="0" fontId="0" fillId="8" borderId="0" xfId="0" applyFill="1" applyAlignment="1">
      <alignment horizontal="center" vertical="center"/>
    </xf>
    <xf numFmtId="0" fontId="0" fillId="0" borderId="0" xfId="0" applyAlignment="1">
      <alignment horizontal="center" vertical="center"/>
    </xf>
    <xf numFmtId="0" fontId="1" fillId="8" borderId="0" xfId="0" applyFont="1" applyFill="1" applyAlignment="1">
      <alignment horizontal="center" vertical="center"/>
    </xf>
    <xf numFmtId="0" fontId="0" fillId="0" borderId="0" xfId="0" applyFill="1" applyBorder="1" applyAlignment="1" applyProtection="1">
      <alignment horizontal="center"/>
    </xf>
    <xf numFmtId="0" fontId="7" fillId="0" borderId="0" xfId="0" applyFont="1" applyProtection="1"/>
    <xf numFmtId="0" fontId="0" fillId="0" borderId="0" xfId="0" applyProtection="1"/>
    <xf numFmtId="0" fontId="3" fillId="0" borderId="0" xfId="0" applyFont="1" applyAlignment="1" applyProtection="1">
      <alignment horizontal="left" vertical="top"/>
    </xf>
    <xf numFmtId="0" fontId="3" fillId="0" borderId="0" xfId="0" applyFont="1" applyAlignment="1" applyProtection="1"/>
    <xf numFmtId="0" fontId="8" fillId="0" borderId="0" xfId="0" applyFont="1" applyAlignment="1" applyProtection="1">
      <alignment horizontal="left" vertical="top"/>
    </xf>
    <xf numFmtId="0" fontId="4" fillId="0" borderId="0" xfId="0" applyFont="1" applyAlignment="1" applyProtection="1">
      <alignment horizontal="left" vertical="top"/>
    </xf>
    <xf numFmtId="0" fontId="4" fillId="0" borderId="0" xfId="0" applyFont="1" applyAlignment="1" applyProtection="1"/>
    <xf numFmtId="0" fontId="0" fillId="0" borderId="13" xfId="0" applyBorder="1" applyProtection="1"/>
    <xf numFmtId="0" fontId="0" fillId="0" borderId="15" xfId="0" applyBorder="1" applyProtection="1"/>
    <xf numFmtId="0" fontId="0" fillId="0" borderId="5" xfId="0" applyBorder="1" applyProtection="1"/>
    <xf numFmtId="0" fontId="0" fillId="0" borderId="10" xfId="0" applyBorder="1" applyProtection="1"/>
    <xf numFmtId="0" fontId="0" fillId="0" borderId="3" xfId="0" applyFill="1" applyBorder="1" applyProtection="1"/>
    <xf numFmtId="0" fontId="10" fillId="0" borderId="13" xfId="0" applyFont="1" applyBorder="1" applyAlignment="1" applyProtection="1">
      <alignment vertical="top" wrapText="1"/>
    </xf>
    <xf numFmtId="0" fontId="0" fillId="0" borderId="0" xfId="0" applyAlignment="1" applyProtection="1"/>
    <xf numFmtId="0" fontId="3" fillId="0" borderId="0" xfId="0" applyFont="1" applyProtection="1"/>
    <xf numFmtId="0" fontId="0" fillId="0" borderId="1" xfId="0" applyBorder="1" applyProtection="1"/>
    <xf numFmtId="0" fontId="0" fillId="0" borderId="3" xfId="0" applyBorder="1" applyProtection="1"/>
    <xf numFmtId="0" fontId="1" fillId="10" borderId="0" xfId="0" applyFont="1" applyFill="1"/>
    <xf numFmtId="0" fontId="0" fillId="10" borderId="0" xfId="0" applyFill="1" applyAlignment="1" applyProtection="1"/>
    <xf numFmtId="0" fontId="3" fillId="10" borderId="0" xfId="0" applyFont="1" applyFill="1" applyAlignment="1" applyProtection="1">
      <alignment horizontal="left" vertical="top" wrapText="1"/>
    </xf>
    <xf numFmtId="0" fontId="12" fillId="0" borderId="0" xfId="0" applyFont="1"/>
    <xf numFmtId="0" fontId="1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top"/>
    </xf>
    <xf numFmtId="0" fontId="13" fillId="0" borderId="0" xfId="0" applyFont="1"/>
    <xf numFmtId="0" fontId="3" fillId="0" borderId="0" xfId="0" applyFont="1" applyAlignment="1">
      <alignment wrapText="1"/>
    </xf>
    <xf numFmtId="17" fontId="0" fillId="0" borderId="0" xfId="0" quotePrefix="1" applyNumberFormat="1" applyAlignment="1">
      <alignment horizontal="center" vertical="center"/>
    </xf>
    <xf numFmtId="0" fontId="1" fillId="0" borderId="0" xfId="0" applyFont="1" applyAlignment="1">
      <alignment horizontal="center" vertical="center"/>
    </xf>
    <xf numFmtId="0" fontId="0" fillId="7" borderId="0" xfId="0" applyFill="1" applyAlignment="1">
      <alignment horizontal="center"/>
    </xf>
    <xf numFmtId="0" fontId="1" fillId="0" borderId="0" xfId="0" applyFont="1" applyAlignment="1">
      <alignment wrapText="1"/>
    </xf>
    <xf numFmtId="0" fontId="1" fillId="0" borderId="0" xfId="0" applyFont="1" applyAlignment="1">
      <alignment horizontal="center" vertical="center" wrapText="1"/>
    </xf>
    <xf numFmtId="0" fontId="0" fillId="3" borderId="0" xfId="0" applyFill="1" applyAlignment="1">
      <alignment horizontal="center" vertical="center"/>
    </xf>
    <xf numFmtId="0" fontId="1" fillId="10" borderId="0" xfId="0" applyFont="1" applyFill="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wrapText="1"/>
    </xf>
    <xf numFmtId="0" fontId="1" fillId="0" borderId="0" xfId="0" applyFont="1" applyAlignment="1">
      <alignment horizontal="left" vertical="center"/>
    </xf>
    <xf numFmtId="0" fontId="0" fillId="0" borderId="0" xfId="0" applyAlignment="1">
      <alignment horizontal="left" vertical="center"/>
    </xf>
    <xf numFmtId="0" fontId="0" fillId="7" borderId="0" xfId="0" applyFill="1" applyAlignment="1">
      <alignment horizontal="center" vertical="center"/>
    </xf>
    <xf numFmtId="1" fontId="1" fillId="8" borderId="0" xfId="0" applyNumberFormat="1" applyFont="1" applyFill="1" applyAlignment="1">
      <alignment horizontal="center" vertical="center"/>
    </xf>
    <xf numFmtId="0" fontId="0" fillId="8" borderId="0" xfId="0" applyFill="1" applyAlignment="1">
      <alignment horizontal="center"/>
    </xf>
    <xf numFmtId="0" fontId="0" fillId="8" borderId="0" xfId="0" applyFill="1"/>
    <xf numFmtId="1" fontId="0" fillId="8" borderId="0" xfId="0" applyNumberFormat="1" applyFill="1" applyAlignment="1">
      <alignment horizontal="center" vertical="center"/>
    </xf>
    <xf numFmtId="0" fontId="0" fillId="13" borderId="0" xfId="0" applyFill="1"/>
    <xf numFmtId="0" fontId="0" fillId="13" borderId="0" xfId="0" applyFill="1" applyAlignment="1">
      <alignment wrapText="1"/>
    </xf>
    <xf numFmtId="1" fontId="0" fillId="13" borderId="0" xfId="0" applyNumberFormat="1" applyFill="1"/>
    <xf numFmtId="0" fontId="1" fillId="13" borderId="0" xfId="0" applyFont="1" applyFill="1"/>
    <xf numFmtId="1" fontId="0" fillId="0" borderId="0" xfId="0" applyNumberFormat="1" applyFill="1" applyAlignment="1">
      <alignment horizontal="center" vertical="center"/>
    </xf>
    <xf numFmtId="0" fontId="0" fillId="0" borderId="0" xfId="0" applyFill="1" applyAlignment="1">
      <alignment wrapText="1"/>
    </xf>
    <xf numFmtId="0" fontId="0" fillId="0" borderId="0" xfId="0" applyFill="1" applyAlignment="1">
      <alignment horizontal="center"/>
    </xf>
    <xf numFmtId="1" fontId="0" fillId="0" borderId="0" xfId="0" applyNumberFormat="1" applyFill="1" applyAlignment="1">
      <alignment horizontal="center"/>
    </xf>
    <xf numFmtId="0" fontId="14" fillId="0" borderId="0" xfId="0" applyFont="1"/>
    <xf numFmtId="1" fontId="14" fillId="0" borderId="0" xfId="0" applyNumberFormat="1" applyFont="1" applyFill="1" applyAlignment="1">
      <alignment horizontal="center" vertical="center"/>
    </xf>
    <xf numFmtId="2" fontId="0" fillId="0" borderId="0" xfId="0" applyNumberFormat="1" applyProtection="1"/>
    <xf numFmtId="1" fontId="0" fillId="0" borderId="0" xfId="0" applyNumberFormat="1" applyFill="1" applyBorder="1"/>
    <xf numFmtId="0" fontId="1" fillId="0" borderId="0" xfId="0" applyFont="1" applyProtection="1"/>
    <xf numFmtId="0" fontId="1" fillId="0" borderId="0" xfId="0" applyFont="1" applyFill="1" applyBorder="1" applyAlignment="1" applyProtection="1">
      <alignment horizontal="center" vertical="center"/>
    </xf>
    <xf numFmtId="2" fontId="0" fillId="0" borderId="0" xfId="0" applyNumberFormat="1" applyAlignment="1" applyProtection="1">
      <alignment horizontal="center" vertical="center"/>
    </xf>
    <xf numFmtId="2" fontId="0" fillId="0" borderId="9" xfId="0" applyNumberFormat="1" applyBorder="1" applyProtection="1"/>
    <xf numFmtId="2" fontId="0" fillId="0" borderId="10" xfId="0" applyNumberFormat="1" applyBorder="1" applyProtection="1"/>
    <xf numFmtId="2" fontId="0" fillId="0" borderId="12" xfId="0" applyNumberFormat="1" applyBorder="1" applyProtection="1"/>
    <xf numFmtId="0" fontId="1" fillId="10" borderId="0" xfId="0" applyFont="1" applyFill="1" applyAlignment="1" applyProtection="1"/>
    <xf numFmtId="0" fontId="0" fillId="15" borderId="5" xfId="0" applyFill="1" applyBorder="1" applyProtection="1"/>
    <xf numFmtId="0" fontId="4" fillId="0" borderId="0" xfId="0" applyFont="1" applyFill="1"/>
    <xf numFmtId="0" fontId="0" fillId="8" borderId="1" xfId="0" applyFill="1" applyBorder="1"/>
    <xf numFmtId="0" fontId="0" fillId="8" borderId="8" xfId="0" applyFill="1" applyBorder="1"/>
    <xf numFmtId="0" fontId="0" fillId="8" borderId="9" xfId="0" applyFill="1" applyBorder="1"/>
    <xf numFmtId="0" fontId="0" fillId="8" borderId="5" xfId="0" applyFill="1" applyBorder="1"/>
    <xf numFmtId="0" fontId="0" fillId="8" borderId="0" xfId="0" applyFill="1" applyBorder="1"/>
    <xf numFmtId="0" fontId="0" fillId="8" borderId="10" xfId="0" applyFill="1" applyBorder="1"/>
    <xf numFmtId="0" fontId="0" fillId="8" borderId="3" xfId="0" applyFill="1" applyBorder="1"/>
    <xf numFmtId="0" fontId="0" fillId="8" borderId="11" xfId="0" applyFill="1" applyBorder="1"/>
    <xf numFmtId="0" fontId="0" fillId="8" borderId="12" xfId="0" applyFill="1" applyBorder="1"/>
    <xf numFmtId="0" fontId="0" fillId="16" borderId="0" xfId="0" applyFill="1" applyAlignment="1">
      <alignment horizontal="center" vertical="center"/>
    </xf>
    <xf numFmtId="0" fontId="0" fillId="8" borderId="19" xfId="0" applyFill="1" applyBorder="1"/>
    <xf numFmtId="0" fontId="0" fillId="0" borderId="0" xfId="0" applyFill="1" applyBorder="1" applyAlignment="1">
      <alignment horizontal="center" vertical="center"/>
    </xf>
    <xf numFmtId="0" fontId="0" fillId="0" borderId="14" xfId="0" applyBorder="1" applyProtection="1"/>
    <xf numFmtId="2" fontId="0" fillId="0" borderId="8" xfId="0" applyNumberFormat="1" applyBorder="1" applyProtection="1"/>
    <xf numFmtId="2" fontId="0" fillId="0" borderId="0" xfId="0" applyNumberFormat="1" applyBorder="1" applyProtection="1"/>
    <xf numFmtId="2" fontId="0" fillId="0" borderId="11" xfId="0" applyNumberFormat="1" applyBorder="1" applyProtection="1"/>
    <xf numFmtId="0" fontId="0" fillId="10" borderId="16" xfId="0" applyFill="1" applyBorder="1" applyAlignment="1" applyProtection="1">
      <alignment horizontal="center" vertical="center"/>
    </xf>
    <xf numFmtId="0" fontId="0" fillId="0" borderId="5" xfId="0" applyFill="1" applyBorder="1" applyProtection="1"/>
    <xf numFmtId="0" fontId="0" fillId="0" borderId="12" xfId="0" applyFill="1" applyBorder="1" applyProtection="1"/>
    <xf numFmtId="164" fontId="0" fillId="0" borderId="10" xfId="0" applyNumberFormat="1" applyFill="1" applyBorder="1" applyProtection="1"/>
    <xf numFmtId="0" fontId="0" fillId="0" borderId="16" xfId="0" applyBorder="1"/>
    <xf numFmtId="0" fontId="0" fillId="0" borderId="23" xfId="0" applyBorder="1"/>
    <xf numFmtId="2" fontId="0" fillId="7" borderId="17" xfId="0" applyNumberFormat="1" applyFill="1" applyBorder="1" applyAlignment="1" applyProtection="1">
      <alignment horizontal="center" vertical="center"/>
      <protection locked="0"/>
    </xf>
    <xf numFmtId="0" fontId="0" fillId="7" borderId="24" xfId="0" applyFill="1" applyBorder="1" applyAlignment="1" applyProtection="1">
      <alignment horizontal="center" vertical="center"/>
      <protection locked="0"/>
    </xf>
    <xf numFmtId="0" fontId="0" fillId="0" borderId="0" xfId="0" applyFill="1" applyProtection="1"/>
    <xf numFmtId="0" fontId="4" fillId="0" borderId="0" xfId="0" applyFont="1" applyProtection="1"/>
    <xf numFmtId="0" fontId="0" fillId="8" borderId="1" xfId="0" applyFill="1" applyBorder="1" applyProtection="1"/>
    <xf numFmtId="0" fontId="0" fillId="8" borderId="9" xfId="0" applyFill="1" applyBorder="1" applyProtection="1"/>
    <xf numFmtId="0" fontId="1" fillId="8" borderId="5" xfId="0" applyFont="1" applyFill="1" applyBorder="1" applyProtection="1"/>
    <xf numFmtId="0" fontId="0" fillId="8" borderId="10" xfId="0" applyFill="1" applyBorder="1" applyProtection="1"/>
    <xf numFmtId="0" fontId="0" fillId="8" borderId="24" xfId="0" applyFill="1" applyBorder="1" applyAlignment="1" applyProtection="1">
      <alignment horizontal="center" vertical="center"/>
    </xf>
    <xf numFmtId="0" fontId="0" fillId="0" borderId="1" xfId="0" quotePrefix="1" applyBorder="1" applyAlignment="1" applyProtection="1">
      <alignment horizontal="left"/>
    </xf>
    <xf numFmtId="0" fontId="0" fillId="0" borderId="8" xfId="0" quotePrefix="1" applyBorder="1" applyAlignment="1" applyProtection="1">
      <alignment horizontal="left"/>
    </xf>
    <xf numFmtId="0" fontId="0" fillId="0" borderId="9" xfId="0" applyBorder="1" applyProtection="1"/>
    <xf numFmtId="0" fontId="0" fillId="0" borderId="2" xfId="0" applyFill="1" applyBorder="1" applyAlignment="1" applyProtection="1">
      <alignment horizontal="center"/>
    </xf>
    <xf numFmtId="0" fontId="0" fillId="0" borderId="3" xfId="0" applyBorder="1" applyAlignment="1" applyProtection="1">
      <alignment horizontal="center"/>
    </xf>
    <xf numFmtId="0" fontId="0" fillId="0" borderId="11" xfId="0" quotePrefix="1" applyBorder="1" applyAlignment="1" applyProtection="1">
      <alignment horizontal="center"/>
    </xf>
    <xf numFmtId="0" fontId="0" fillId="0" borderId="12" xfId="0" applyBorder="1" applyAlignment="1" applyProtection="1">
      <alignment horizontal="center"/>
    </xf>
    <xf numFmtId="0" fontId="0" fillId="0" borderId="12" xfId="0" applyBorder="1" applyProtection="1"/>
    <xf numFmtId="0" fontId="0" fillId="0" borderId="4" xfId="0" applyBorder="1" applyProtection="1"/>
    <xf numFmtId="0" fontId="0" fillId="8" borderId="3" xfId="0" applyFill="1" applyBorder="1" applyProtection="1"/>
    <xf numFmtId="0" fontId="0" fillId="8" borderId="12" xfId="0" applyFill="1" applyBorder="1" applyProtection="1"/>
    <xf numFmtId="1" fontId="0" fillId="0" borderId="8" xfId="0" applyNumberFormat="1" applyBorder="1" applyAlignment="1" applyProtection="1">
      <alignment horizontal="center"/>
    </xf>
    <xf numFmtId="0" fontId="0" fillId="0" borderId="9" xfId="0" applyBorder="1" applyAlignment="1" applyProtection="1">
      <alignment horizontal="center"/>
    </xf>
    <xf numFmtId="0" fontId="0" fillId="0" borderId="6" xfId="0" applyBorder="1" applyAlignment="1" applyProtection="1">
      <alignment horizontal="center" vertical="center"/>
    </xf>
    <xf numFmtId="1" fontId="0" fillId="0" borderId="0" xfId="0" applyNumberFormat="1" applyBorder="1" applyAlignment="1" applyProtection="1">
      <alignment horizontal="center"/>
    </xf>
    <xf numFmtId="0" fontId="0" fillId="0" borderId="10" xfId="0" applyBorder="1" applyAlignment="1" applyProtection="1">
      <alignment horizontal="center"/>
    </xf>
    <xf numFmtId="0" fontId="0" fillId="0" borderId="6" xfId="0" applyFill="1" applyBorder="1" applyAlignment="1" applyProtection="1">
      <alignment horizontal="center" vertical="center"/>
    </xf>
    <xf numFmtId="0" fontId="0" fillId="8" borderId="5" xfId="0" applyFill="1" applyBorder="1" applyProtection="1"/>
    <xf numFmtId="1" fontId="6" fillId="0" borderId="11" xfId="0" applyNumberFormat="1" applyFont="1" applyBorder="1" applyAlignment="1" applyProtection="1">
      <alignment horizontal="center"/>
    </xf>
    <xf numFmtId="0" fontId="6" fillId="0" borderId="12" xfId="0" applyFont="1" applyBorder="1" applyAlignment="1" applyProtection="1">
      <alignment horizontal="center"/>
    </xf>
    <xf numFmtId="0" fontId="0" fillId="0" borderId="4" xfId="0" applyFill="1" applyBorder="1" applyAlignment="1" applyProtection="1">
      <alignment horizontal="center" vertical="center"/>
    </xf>
    <xf numFmtId="0" fontId="0" fillId="0" borderId="11" xfId="0" applyBorder="1" applyProtection="1"/>
    <xf numFmtId="0" fontId="3" fillId="0" borderId="12" xfId="0" applyFont="1" applyFill="1" applyBorder="1" applyProtection="1"/>
    <xf numFmtId="0" fontId="0" fillId="0" borderId="0" xfId="0" applyAlignment="1" applyProtection="1">
      <alignment horizontal="center" vertical="center"/>
    </xf>
    <xf numFmtId="0" fontId="0" fillId="0" borderId="2"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4" xfId="0" applyBorder="1" applyAlignment="1" applyProtection="1">
      <alignment horizontal="center" vertical="center"/>
    </xf>
    <xf numFmtId="0" fontId="0" fillId="22" borderId="16" xfId="0" applyFill="1" applyBorder="1" applyAlignment="1" applyProtection="1">
      <alignment horizontal="center" vertical="center"/>
    </xf>
    <xf numFmtId="0" fontId="0" fillId="22" borderId="17" xfId="0" applyFill="1" applyBorder="1" applyAlignment="1" applyProtection="1">
      <alignment horizontal="center" vertical="center"/>
    </xf>
    <xf numFmtId="0" fontId="0" fillId="17" borderId="16" xfId="0" applyFill="1" applyBorder="1" applyAlignment="1" applyProtection="1">
      <alignment horizontal="center" vertical="center"/>
    </xf>
    <xf numFmtId="0" fontId="0" fillId="0" borderId="8" xfId="0" applyBorder="1" applyProtection="1"/>
    <xf numFmtId="0" fontId="0" fillId="0" borderId="13" xfId="0" applyFill="1" applyBorder="1" applyProtection="1"/>
    <xf numFmtId="0" fontId="0" fillId="0" borderId="7" xfId="0" applyFill="1" applyBorder="1" applyAlignment="1" applyProtection="1">
      <alignment horizontal="center" vertical="center"/>
    </xf>
    <xf numFmtId="0" fontId="0" fillId="0" borderId="0" xfId="0" applyAlignment="1" applyProtection="1">
      <alignment wrapText="1"/>
    </xf>
    <xf numFmtId="165" fontId="0" fillId="22" borderId="16" xfId="0" applyNumberFormat="1" applyFill="1" applyBorder="1" applyAlignment="1" applyProtection="1">
      <alignment horizontal="center" vertical="center"/>
    </xf>
    <xf numFmtId="0" fontId="0" fillId="0" borderId="13" xfId="0"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2" fontId="0" fillId="0" borderId="8" xfId="0" applyNumberFormat="1" applyBorder="1" applyAlignment="1" applyProtection="1">
      <alignment horizontal="center"/>
    </xf>
    <xf numFmtId="0" fontId="0" fillId="0" borderId="2" xfId="0" applyBorder="1" applyAlignment="1" applyProtection="1">
      <alignment horizontal="center" vertical="center"/>
    </xf>
    <xf numFmtId="2" fontId="0" fillId="0" borderId="0" xfId="0" applyNumberFormat="1" applyBorder="1" applyAlignment="1" applyProtection="1">
      <alignment horizontal="center"/>
    </xf>
    <xf numFmtId="0" fontId="6" fillId="0" borderId="11" xfId="0" applyNumberFormat="1" applyFont="1" applyBorder="1" applyAlignment="1" applyProtection="1">
      <alignment horizontal="center"/>
    </xf>
    <xf numFmtId="0" fontId="0" fillId="0" borderId="11" xfId="0" applyBorder="1" applyAlignment="1" applyProtection="1">
      <alignment horizontal="center"/>
    </xf>
    <xf numFmtId="0" fontId="3" fillId="0" borderId="0" xfId="0" applyFont="1" applyFill="1" applyBorder="1" applyProtection="1"/>
    <xf numFmtId="0" fontId="1" fillId="0" borderId="0" xfId="0" applyFont="1" applyFill="1" applyBorder="1" applyProtection="1"/>
    <xf numFmtId="0" fontId="4" fillId="11" borderId="1" xfId="0" applyFont="1" applyFill="1" applyBorder="1" applyProtection="1"/>
    <xf numFmtId="0" fontId="0" fillId="11" borderId="8" xfId="0" applyFill="1" applyBorder="1" applyProtection="1"/>
    <xf numFmtId="0" fontId="0" fillId="11" borderId="9" xfId="0" applyFill="1" applyBorder="1" applyProtection="1"/>
    <xf numFmtId="0" fontId="3" fillId="0" borderId="0" xfId="0" applyFont="1" applyFill="1" applyBorder="1" applyAlignment="1" applyProtection="1">
      <alignment horizontal="right"/>
    </xf>
    <xf numFmtId="0" fontId="3" fillId="0" borderId="0" xfId="0" applyFont="1" applyFill="1" applyBorder="1" applyAlignment="1" applyProtection="1">
      <alignment horizontal="left" vertical="center"/>
    </xf>
    <xf numFmtId="0" fontId="4" fillId="11" borderId="5" xfId="0" applyFont="1" applyFill="1" applyBorder="1" applyProtection="1"/>
    <xf numFmtId="0" fontId="0" fillId="11" borderId="0" xfId="0" applyFill="1" applyBorder="1" applyProtection="1"/>
    <xf numFmtId="0" fontId="4" fillId="11" borderId="10" xfId="0" applyFont="1" applyFill="1" applyBorder="1" applyProtection="1"/>
    <xf numFmtId="2" fontId="0" fillId="0" borderId="0" xfId="0" applyNumberFormat="1" applyFill="1" applyBorder="1" applyAlignment="1" applyProtection="1">
      <alignment horizontal="center"/>
    </xf>
    <xf numFmtId="0" fontId="4" fillId="11" borderId="0" xfId="0" applyFont="1" applyFill="1" applyBorder="1" applyProtection="1"/>
    <xf numFmtId="0" fontId="0" fillId="11" borderId="5" xfId="0" applyFill="1" applyBorder="1" applyAlignment="1" applyProtection="1">
      <alignment horizontal="center"/>
    </xf>
    <xf numFmtId="0" fontId="0" fillId="11" borderId="10" xfId="0" applyFill="1" applyBorder="1" applyAlignment="1" applyProtection="1">
      <alignment horizontal="center" vertical="center"/>
    </xf>
    <xf numFmtId="0" fontId="3" fillId="11" borderId="0" xfId="0" quotePrefix="1" applyFont="1" applyFill="1" applyBorder="1" applyAlignment="1" applyProtection="1">
      <alignment horizontal="left"/>
    </xf>
    <xf numFmtId="0" fontId="3" fillId="11" borderId="0" xfId="0" applyFont="1" applyFill="1" applyBorder="1" applyProtection="1"/>
    <xf numFmtId="0" fontId="3" fillId="11" borderId="5" xfId="0" applyFont="1" applyFill="1" applyBorder="1" applyAlignment="1" applyProtection="1">
      <alignment horizontal="center"/>
    </xf>
    <xf numFmtId="0" fontId="0" fillId="12" borderId="3" xfId="0" applyFill="1" applyBorder="1" applyAlignment="1" applyProtection="1">
      <alignment horizontal="center" vertical="center"/>
    </xf>
    <xf numFmtId="0" fontId="3" fillId="11" borderId="11" xfId="0" applyFont="1" applyFill="1" applyBorder="1" applyProtection="1"/>
    <xf numFmtId="0" fontId="0" fillId="12" borderId="11" xfId="0" applyFill="1" applyBorder="1" applyProtection="1"/>
    <xf numFmtId="0" fontId="0" fillId="12" borderId="12" xfId="0" applyFill="1" applyBorder="1" applyAlignment="1" applyProtection="1">
      <alignment horizontal="center" vertical="center"/>
    </xf>
    <xf numFmtId="0" fontId="0" fillId="0" borderId="0" xfId="0" quotePrefix="1" applyAlignment="1" applyProtection="1">
      <alignment horizontal="left"/>
    </xf>
    <xf numFmtId="0" fontId="4" fillId="0" borderId="1" xfId="0" applyFont="1" applyBorder="1" applyProtection="1"/>
    <xf numFmtId="0" fontId="4" fillId="0" borderId="3" xfId="0" quotePrefix="1" applyFont="1" applyBorder="1" applyAlignment="1" applyProtection="1">
      <alignment horizontal="left"/>
    </xf>
    <xf numFmtId="0" fontId="3" fillId="0" borderId="5" xfId="0" applyFont="1" applyBorder="1" applyProtection="1"/>
    <xf numFmtId="0" fontId="0" fillId="0" borderId="3" xfId="0" quotePrefix="1" applyBorder="1" applyAlignment="1" applyProtection="1">
      <alignment horizontal="left"/>
    </xf>
    <xf numFmtId="0" fontId="0" fillId="24" borderId="16" xfId="0" applyFill="1" applyBorder="1" applyAlignment="1" applyProtection="1">
      <alignment horizontal="center" vertical="center"/>
    </xf>
    <xf numFmtId="0" fontId="0" fillId="0" borderId="16" xfId="0" applyBorder="1" applyProtection="1"/>
    <xf numFmtId="0" fontId="0" fillId="24" borderId="22"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18" borderId="1" xfId="0" applyFont="1" applyFill="1" applyBorder="1" applyProtection="1"/>
    <xf numFmtId="0" fontId="0" fillId="18" borderId="8" xfId="0" applyFill="1" applyBorder="1" applyProtection="1"/>
    <xf numFmtId="0" fontId="0" fillId="0" borderId="0" xfId="0" applyBorder="1" applyAlignment="1" applyProtection="1">
      <alignment wrapText="1"/>
    </xf>
    <xf numFmtId="1" fontId="0" fillId="0" borderId="0" xfId="0" applyNumberFormat="1" applyFill="1" applyBorder="1" applyAlignment="1">
      <alignment horizontal="center" vertical="center"/>
    </xf>
    <xf numFmtId="0" fontId="0" fillId="0" borderId="0" xfId="0" applyFill="1" applyAlignment="1" applyProtection="1">
      <alignment horizontal="right" vertical="center"/>
    </xf>
    <xf numFmtId="0" fontId="0" fillId="0" borderId="0" xfId="0" applyFill="1" applyAlignment="1" applyProtection="1">
      <alignment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center" wrapText="1"/>
    </xf>
    <xf numFmtId="0" fontId="0" fillId="27" borderId="16" xfId="0" applyFill="1" applyBorder="1" applyAlignment="1" applyProtection="1">
      <alignment horizontal="center" vertical="center"/>
    </xf>
    <xf numFmtId="0" fontId="1" fillId="0" borderId="0" xfId="0" applyFont="1" applyFill="1" applyBorder="1" applyAlignment="1" applyProtection="1">
      <alignment vertical="center"/>
    </xf>
    <xf numFmtId="0" fontId="0" fillId="0" borderId="0" xfId="0" applyFont="1" applyFill="1" applyBorder="1" applyAlignment="1" applyProtection="1">
      <alignment horizontal="center" vertical="center" wrapText="1"/>
    </xf>
    <xf numFmtId="2" fontId="0" fillId="0" borderId="0" xfId="0" applyNumberFormat="1" applyFill="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hidden="1"/>
    </xf>
    <xf numFmtId="0" fontId="0" fillId="0" borderId="0" xfId="0" applyProtection="1">
      <protection hidden="1"/>
    </xf>
    <xf numFmtId="0" fontId="1" fillId="0" borderId="0" xfId="0" applyFont="1" applyAlignment="1" applyProtection="1">
      <alignment horizontal="center" vertical="center"/>
      <protection hidden="1"/>
    </xf>
    <xf numFmtId="0" fontId="0" fillId="19" borderId="0" xfId="0" applyFill="1" applyAlignment="1" applyProtection="1">
      <alignment horizontal="center" vertical="center"/>
      <protection hidden="1"/>
    </xf>
    <xf numFmtId="0" fontId="0" fillId="0" borderId="0" xfId="0" applyAlignment="1" applyProtection="1">
      <alignment horizontal="right" vertical="center"/>
      <protection hidden="1"/>
    </xf>
    <xf numFmtId="0" fontId="0" fillId="20" borderId="24" xfId="0" applyFill="1" applyBorder="1" applyAlignment="1" applyProtection="1">
      <alignment horizontal="left" vertical="center"/>
      <protection locked="0" hidden="1"/>
    </xf>
    <xf numFmtId="49" fontId="0" fillId="20" borderId="16" xfId="0" applyNumberFormat="1" applyFill="1" applyBorder="1" applyAlignment="1" applyProtection="1">
      <alignment horizontal="left" vertical="center"/>
      <protection locked="0" hidden="1"/>
    </xf>
    <xf numFmtId="0" fontId="0" fillId="14" borderId="24" xfId="0" applyFill="1" applyBorder="1" applyProtection="1">
      <protection hidden="1"/>
    </xf>
    <xf numFmtId="49" fontId="0" fillId="20" borderId="22" xfId="0" applyNumberFormat="1" applyFill="1" applyBorder="1" applyAlignment="1" applyProtection="1">
      <alignment horizontal="left" vertical="center"/>
      <protection locked="0" hidden="1"/>
    </xf>
    <xf numFmtId="0" fontId="0" fillId="14" borderId="22" xfId="0" applyFill="1" applyBorder="1" applyAlignment="1" applyProtection="1">
      <alignment horizontal="left" vertical="center"/>
      <protection locked="0" hidden="1"/>
    </xf>
    <xf numFmtId="0" fontId="0" fillId="17" borderId="24" xfId="0" applyFill="1" applyBorder="1" applyProtection="1">
      <protection hidden="1"/>
    </xf>
    <xf numFmtId="0" fontId="0" fillId="18" borderId="24" xfId="0" applyFill="1" applyBorder="1" applyProtection="1">
      <protection hidden="1"/>
    </xf>
    <xf numFmtId="0" fontId="0" fillId="18" borderId="0" xfId="0" applyFill="1" applyAlignment="1" applyProtection="1">
      <alignment horizontal="center" vertical="center"/>
      <protection hidden="1"/>
    </xf>
    <xf numFmtId="0" fontId="0" fillId="8" borderId="26" xfId="0" applyFill="1" applyBorder="1" applyProtection="1">
      <protection hidden="1"/>
    </xf>
    <xf numFmtId="0" fontId="0" fillId="24" borderId="0" xfId="0" applyFill="1" applyAlignment="1" applyProtection="1">
      <alignment horizontal="center" vertical="center"/>
      <protection hidden="1"/>
    </xf>
    <xf numFmtId="0" fontId="0" fillId="14" borderId="16" xfId="0" applyFill="1" applyBorder="1" applyAlignment="1" applyProtection="1">
      <alignment horizontal="center" vertical="center"/>
      <protection locked="0" hidden="1"/>
    </xf>
    <xf numFmtId="0" fontId="0" fillId="0" borderId="0" xfId="0" applyFill="1" applyBorder="1" applyAlignment="1" applyProtection="1">
      <alignment horizontal="center" vertical="center"/>
      <protection hidden="1"/>
    </xf>
    <xf numFmtId="0" fontId="0" fillId="20" borderId="16" xfId="0" applyFill="1" applyBorder="1" applyAlignment="1" applyProtection="1">
      <alignment horizontal="center" vertical="center"/>
      <protection locked="0" hidden="1"/>
    </xf>
    <xf numFmtId="164" fontId="0" fillId="21" borderId="16" xfId="0" applyNumberFormat="1" applyFill="1" applyBorder="1" applyAlignment="1" applyProtection="1">
      <alignment horizontal="center" vertical="center"/>
      <protection hidden="1"/>
    </xf>
    <xf numFmtId="1" fontId="0" fillId="21" borderId="16" xfId="0" applyNumberFormat="1"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165" fontId="0" fillId="17" borderId="16" xfId="0" applyNumberFormat="1" applyFill="1" applyBorder="1" applyAlignment="1" applyProtection="1">
      <alignment horizontal="center" vertical="center"/>
      <protection hidden="1"/>
    </xf>
    <xf numFmtId="0" fontId="0" fillId="0" borderId="0" xfId="0" applyFill="1" applyProtection="1">
      <protection hidden="1"/>
    </xf>
    <xf numFmtId="0" fontId="0" fillId="21" borderId="16" xfId="0" applyFill="1" applyBorder="1" applyAlignment="1" applyProtection="1">
      <alignment horizontal="center" vertical="center"/>
      <protection hidden="1"/>
    </xf>
    <xf numFmtId="0" fontId="0" fillId="14" borderId="22" xfId="0" applyFill="1" applyBorder="1" applyAlignment="1" applyProtection="1">
      <alignment horizontal="center" vertical="center"/>
      <protection locked="0" hidden="1"/>
    </xf>
    <xf numFmtId="0" fontId="0" fillId="14" borderId="0" xfId="0" applyFill="1" applyAlignment="1" applyProtection="1">
      <alignment horizontal="center" vertical="center"/>
      <protection hidden="1"/>
    </xf>
    <xf numFmtId="0" fontId="0" fillId="0" borderId="0" xfId="0" applyAlignment="1" applyProtection="1">
      <alignment horizontal="center" vertical="center" wrapText="1"/>
      <protection hidden="1"/>
    </xf>
    <xf numFmtId="2" fontId="0" fillId="27" borderId="0" xfId="0" applyNumberFormat="1" applyFill="1" applyAlignment="1" applyProtection="1">
      <alignment horizontal="center" vertical="center"/>
      <protection hidden="1"/>
    </xf>
    <xf numFmtId="2" fontId="0" fillId="0" borderId="0" xfId="0" applyNumberFormat="1" applyAlignment="1" applyProtection="1">
      <alignment horizontal="center" vertical="center"/>
      <protection hidden="1"/>
    </xf>
    <xf numFmtId="0" fontId="0" fillId="19" borderId="0" xfId="0" applyFill="1" applyAlignment="1" applyProtection="1">
      <alignment horizontal="left" vertical="center"/>
      <protection hidden="1"/>
    </xf>
    <xf numFmtId="164" fontId="0" fillId="18" borderId="0" xfId="0" applyNumberFormat="1" applyFill="1" applyAlignment="1" applyProtection="1">
      <alignment horizontal="center" vertical="center"/>
      <protection hidden="1"/>
    </xf>
    <xf numFmtId="0" fontId="0" fillId="19" borderId="0" xfId="0" applyFont="1" applyFill="1" applyAlignment="1" applyProtection="1">
      <alignment horizontal="center" vertical="center"/>
      <protection hidden="1"/>
    </xf>
    <xf numFmtId="0" fontId="0" fillId="19" borderId="0" xfId="0" applyFill="1" applyBorder="1" applyAlignment="1" applyProtection="1">
      <alignment horizontal="center" vertical="center"/>
      <protection hidden="1"/>
    </xf>
    <xf numFmtId="0" fontId="0" fillId="28" borderId="0" xfId="0" applyFill="1" applyProtection="1">
      <protection hidden="1"/>
    </xf>
    <xf numFmtId="0" fontId="11" fillId="28" borderId="0" xfId="0" applyFont="1" applyFill="1" applyProtection="1">
      <protection hidden="1"/>
    </xf>
    <xf numFmtId="0" fontId="0" fillId="28" borderId="0" xfId="0" applyFill="1" applyAlignment="1" applyProtection="1">
      <alignment horizontal="right" vertical="center"/>
      <protection hidden="1"/>
    </xf>
    <xf numFmtId="0" fontId="0" fillId="28" borderId="0" xfId="0" applyFill="1" applyBorder="1" applyAlignment="1" applyProtection="1">
      <alignment horizontal="right" vertical="center"/>
      <protection hidden="1"/>
    </xf>
    <xf numFmtId="0" fontId="0" fillId="28" borderId="0" xfId="0" applyFill="1" applyAlignment="1" applyProtection="1">
      <alignment horizontal="left" vertical="center"/>
      <protection hidden="1"/>
    </xf>
    <xf numFmtId="0" fontId="0" fillId="28" borderId="0" xfId="0" applyFill="1" applyBorder="1" applyAlignment="1" applyProtection="1">
      <alignment horizontal="left" vertical="center"/>
      <protection locked="0" hidden="1"/>
    </xf>
    <xf numFmtId="0" fontId="0" fillId="28" borderId="0" xfId="0" applyFill="1" applyBorder="1" applyAlignment="1" applyProtection="1">
      <alignment horizontal="center"/>
      <protection hidden="1"/>
    </xf>
    <xf numFmtId="0" fontId="0" fillId="28" borderId="8" xfId="0" applyFill="1" applyBorder="1" applyProtection="1">
      <protection hidden="1"/>
    </xf>
    <xf numFmtId="0" fontId="0" fillId="28" borderId="9" xfId="0" applyFill="1" applyBorder="1" applyProtection="1">
      <protection hidden="1"/>
    </xf>
    <xf numFmtId="0" fontId="0" fillId="28" borderId="17" xfId="0" applyFill="1" applyBorder="1" applyAlignment="1" applyProtection="1">
      <alignment horizontal="left" vertical="center"/>
      <protection hidden="1"/>
    </xf>
    <xf numFmtId="0" fontId="0" fillId="28" borderId="30" xfId="0" applyFill="1" applyBorder="1" applyAlignment="1" applyProtection="1">
      <alignment horizontal="left" vertical="center"/>
      <protection hidden="1"/>
    </xf>
    <xf numFmtId="0" fontId="0" fillId="28" borderId="0" xfId="0" applyFill="1" applyAlignment="1" applyProtection="1">
      <alignment horizontal="center" vertical="center"/>
      <protection hidden="1"/>
    </xf>
    <xf numFmtId="0" fontId="15" fillId="28" borderId="0" xfId="0" applyFont="1" applyFill="1" applyBorder="1" applyAlignment="1" applyProtection="1">
      <alignment horizontal="center" vertical="center" wrapText="1"/>
      <protection hidden="1"/>
    </xf>
    <xf numFmtId="0" fontId="0" fillId="28" borderId="0" xfId="0" applyFont="1" applyFill="1" applyBorder="1" applyAlignment="1" applyProtection="1">
      <alignment horizontal="center" vertical="center" wrapText="1"/>
      <protection hidden="1"/>
    </xf>
    <xf numFmtId="0" fontId="0" fillId="28" borderId="0" xfId="0" applyFill="1" applyBorder="1" applyAlignment="1" applyProtection="1">
      <alignment horizontal="center" vertical="center"/>
      <protection hidden="1"/>
    </xf>
    <xf numFmtId="0" fontId="0" fillId="28" borderId="0" xfId="0" applyFill="1" applyAlignment="1" applyProtection="1">
      <alignment horizontal="left"/>
      <protection hidden="1"/>
    </xf>
    <xf numFmtId="0" fontId="0" fillId="28" borderId="0" xfId="0" applyFill="1" applyBorder="1" applyAlignment="1" applyProtection="1">
      <alignment vertical="center"/>
      <protection locked="0" hidden="1"/>
    </xf>
    <xf numFmtId="0" fontId="0" fillId="28" borderId="0" xfId="0" applyFill="1" applyAlignment="1" applyProtection="1">
      <alignment horizontal="center" vertical="center" wrapText="1"/>
      <protection hidden="1"/>
    </xf>
    <xf numFmtId="0" fontId="0" fillId="28" borderId="0" xfId="0" applyFill="1" applyBorder="1" applyAlignment="1" applyProtection="1">
      <protection hidden="1"/>
    </xf>
    <xf numFmtId="0" fontId="1" fillId="28" borderId="0" xfId="0" applyFont="1" applyFill="1" applyBorder="1" applyAlignment="1" applyProtection="1">
      <alignment horizontal="center" vertical="center"/>
      <protection hidden="1"/>
    </xf>
    <xf numFmtId="0" fontId="0" fillId="28" borderId="0" xfId="0" applyFill="1" applyBorder="1" applyProtection="1">
      <protection hidden="1"/>
    </xf>
    <xf numFmtId="0" fontId="0" fillId="28" borderId="46" xfId="0" applyFill="1" applyBorder="1" applyAlignment="1" applyProtection="1">
      <alignment vertical="center"/>
      <protection hidden="1"/>
    </xf>
    <xf numFmtId="0" fontId="0" fillId="28" borderId="47" xfId="0" applyFill="1" applyBorder="1" applyAlignment="1" applyProtection="1">
      <alignment vertical="center"/>
      <protection hidden="1"/>
    </xf>
    <xf numFmtId="0" fontId="4" fillId="28" borderId="16" xfId="0" quotePrefix="1" applyFont="1" applyFill="1" applyBorder="1" applyAlignment="1" applyProtection="1">
      <alignment horizontal="center" vertical="center" wrapText="1"/>
      <protection hidden="1"/>
    </xf>
    <xf numFmtId="0" fontId="0" fillId="28" borderId="55" xfId="0" applyFill="1" applyBorder="1" applyProtection="1">
      <protection hidden="1"/>
    </xf>
    <xf numFmtId="0" fontId="24" fillId="28" borderId="55" xfId="0" applyFont="1" applyFill="1" applyBorder="1" applyProtection="1">
      <protection hidden="1"/>
    </xf>
    <xf numFmtId="2" fontId="0" fillId="28" borderId="0" xfId="0" applyNumberFormat="1" applyFill="1" applyAlignment="1" applyProtection="1">
      <alignment horizontal="center" vertical="center"/>
      <protection hidden="1"/>
    </xf>
    <xf numFmtId="0" fontId="21" fillId="28" borderId="0" xfId="0" applyFont="1" applyFill="1" applyBorder="1" applyProtection="1">
      <protection hidden="1"/>
    </xf>
    <xf numFmtId="0" fontId="0" fillId="28" borderId="0" xfId="0" applyFill="1" applyBorder="1" applyAlignment="1" applyProtection="1">
      <alignment horizontal="left" vertical="center"/>
      <protection hidden="1"/>
    </xf>
    <xf numFmtId="0" fontId="0" fillId="28" borderId="0" xfId="0" applyFill="1" applyBorder="1" applyAlignment="1" applyProtection="1">
      <alignment horizontal="center" vertical="center" wrapText="1"/>
      <protection hidden="1"/>
    </xf>
    <xf numFmtId="164" fontId="0" fillId="28" borderId="0" xfId="0" applyNumberFormat="1" applyFill="1" applyBorder="1" applyAlignment="1" applyProtection="1">
      <alignment horizontal="center" vertical="center"/>
      <protection hidden="1"/>
    </xf>
    <xf numFmtId="0" fontId="11" fillId="28" borderId="0" xfId="0" applyFont="1" applyFill="1" applyBorder="1" applyAlignment="1" applyProtection="1">
      <alignment horizontal="left" vertical="center"/>
      <protection hidden="1"/>
    </xf>
    <xf numFmtId="0" fontId="0" fillId="28" borderId="55" xfId="0" applyFill="1" applyBorder="1" applyAlignment="1" applyProtection="1">
      <alignment horizontal="center" vertical="center"/>
      <protection hidden="1"/>
    </xf>
    <xf numFmtId="0" fontId="0" fillId="28" borderId="55" xfId="0" applyFill="1" applyBorder="1" applyAlignment="1" applyProtection="1">
      <alignment horizontal="center"/>
      <protection hidden="1"/>
    </xf>
    <xf numFmtId="0" fontId="0" fillId="10" borderId="0" xfId="0" applyFill="1" applyProtection="1">
      <protection hidden="1"/>
    </xf>
    <xf numFmtId="0" fontId="0" fillId="10" borderId="0" xfId="0" applyFill="1" applyAlignment="1" applyProtection="1">
      <alignment horizontal="center" vertical="center" wrapText="1"/>
      <protection hidden="1"/>
    </xf>
    <xf numFmtId="0" fontId="0" fillId="26" borderId="16" xfId="0" applyFill="1" applyBorder="1" applyAlignment="1" applyProtection="1">
      <alignment horizontal="center" vertical="center"/>
      <protection locked="0" hidden="1"/>
    </xf>
    <xf numFmtId="0" fontId="0" fillId="0" borderId="0" xfId="0" applyAlignment="1">
      <alignment horizontal="center" vertical="center"/>
    </xf>
    <xf numFmtId="1" fontId="1" fillId="0" borderId="0" xfId="0" applyNumberFormat="1" applyFont="1"/>
    <xf numFmtId="0" fontId="0" fillId="16" borderId="0" xfId="0" applyFill="1"/>
    <xf numFmtId="0" fontId="3" fillId="16" borderId="0" xfId="0" applyFont="1" applyFill="1" applyAlignment="1">
      <alignment horizontal="center" vertical="center"/>
    </xf>
    <xf numFmtId="0" fontId="3" fillId="16" borderId="0" xfId="0" applyFont="1" applyFill="1"/>
    <xf numFmtId="1" fontId="3" fillId="0" borderId="0" xfId="0" applyNumberFormat="1" applyFont="1" applyFill="1" applyAlignment="1">
      <alignment horizontal="center" vertical="center"/>
    </xf>
    <xf numFmtId="1" fontId="0" fillId="16" borderId="0" xfId="0" applyNumberFormat="1" applyFill="1" applyAlignment="1">
      <alignment horizontal="center" vertical="center"/>
    </xf>
    <xf numFmtId="1" fontId="3" fillId="16" borderId="0" xfId="0" applyNumberFormat="1"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Border="1"/>
    <xf numFmtId="0" fontId="3" fillId="0" borderId="16" xfId="0" applyFont="1" applyFill="1" applyBorder="1" applyAlignment="1">
      <alignment horizontal="center" vertical="center"/>
    </xf>
    <xf numFmtId="0" fontId="5" fillId="0" borderId="0" xfId="0" applyFont="1" applyFill="1" applyBorder="1"/>
    <xf numFmtId="0" fontId="4" fillId="0" borderId="56" xfId="0" applyFont="1" applyBorder="1"/>
    <xf numFmtId="0" fontId="3" fillId="0" borderId="23" xfId="0" applyFont="1" applyBorder="1"/>
    <xf numFmtId="0" fontId="3" fillId="0" borderId="57" xfId="0" applyFont="1" applyBorder="1"/>
    <xf numFmtId="0" fontId="3" fillId="0" borderId="56" xfId="0" applyFont="1" applyBorder="1"/>
    <xf numFmtId="0" fontId="3" fillId="16" borderId="41" xfId="0" applyFont="1" applyFill="1" applyBorder="1"/>
    <xf numFmtId="0" fontId="3" fillId="22" borderId="0" xfId="0" applyFont="1" applyFill="1" applyBorder="1"/>
    <xf numFmtId="0" fontId="0" fillId="22" borderId="0" xfId="0" applyFill="1" applyBorder="1"/>
    <xf numFmtId="0" fontId="0" fillId="16" borderId="0" xfId="0" applyFill="1" applyBorder="1" applyAlignment="1">
      <alignment horizontal="left" vertical="center"/>
    </xf>
    <xf numFmtId="0" fontId="0" fillId="16" borderId="35" xfId="0" applyFill="1" applyBorder="1" applyAlignment="1">
      <alignment horizontal="left" vertical="top"/>
    </xf>
    <xf numFmtId="0" fontId="0" fillId="16" borderId="39" xfId="0" applyFill="1" applyBorder="1"/>
    <xf numFmtId="0" fontId="0" fillId="22" borderId="0" xfId="0" applyFill="1" applyBorder="1" applyAlignment="1">
      <alignment horizontal="center" vertical="center"/>
    </xf>
    <xf numFmtId="0" fontId="0" fillId="16" borderId="22" xfId="0" applyFill="1" applyBorder="1" applyAlignment="1">
      <alignment horizontal="center"/>
    </xf>
    <xf numFmtId="0" fontId="0" fillId="16" borderId="41" xfId="0" applyFill="1" applyBorder="1" applyAlignment="1">
      <alignment horizontal="center" vertical="center"/>
    </xf>
    <xf numFmtId="0" fontId="0" fillId="16" borderId="39" xfId="0" applyFill="1" applyBorder="1" applyAlignment="1">
      <alignment horizontal="center"/>
    </xf>
    <xf numFmtId="0" fontId="3" fillId="16" borderId="53" xfId="0" applyFont="1" applyFill="1" applyBorder="1"/>
    <xf numFmtId="0" fontId="3" fillId="22" borderId="37" xfId="0" applyFont="1" applyFill="1" applyBorder="1"/>
    <xf numFmtId="0" fontId="0" fillId="22" borderId="37" xfId="0" applyFill="1" applyBorder="1"/>
    <xf numFmtId="0" fontId="0" fillId="16" borderId="37" xfId="0" applyFill="1" applyBorder="1" applyAlignment="1">
      <alignment horizontal="left" vertical="center"/>
    </xf>
    <xf numFmtId="0" fontId="0" fillId="16" borderId="58" xfId="0" applyFill="1" applyBorder="1" applyAlignment="1">
      <alignment horizontal="left" vertical="top"/>
    </xf>
    <xf numFmtId="0" fontId="0" fillId="16" borderId="21" xfId="0" applyFill="1" applyBorder="1"/>
    <xf numFmtId="1" fontId="0" fillId="22" borderId="0" xfId="0" applyNumberFormat="1" applyFill="1" applyBorder="1" applyAlignment="1">
      <alignment horizontal="center" vertical="center"/>
    </xf>
    <xf numFmtId="0" fontId="0" fillId="16" borderId="39" xfId="0" applyFill="1" applyBorder="1" applyAlignment="1">
      <alignment horizontal="center" vertical="center"/>
    </xf>
    <xf numFmtId="0" fontId="25" fillId="0" borderId="0" xfId="0" applyFont="1" applyFill="1" applyBorder="1"/>
    <xf numFmtId="0" fontId="4" fillId="0" borderId="0"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Fill="1"/>
    <xf numFmtId="0" fontId="3" fillId="0" borderId="0" xfId="0" applyFont="1" applyFill="1" applyBorder="1"/>
    <xf numFmtId="0" fontId="4" fillId="0" borderId="0" xfId="0" applyFont="1" applyAlignment="1">
      <alignment horizontal="left" vertical="center"/>
    </xf>
    <xf numFmtId="1" fontId="4"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1" fontId="4" fillId="0" borderId="0" xfId="0" applyNumberFormat="1"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right"/>
    </xf>
    <xf numFmtId="0" fontId="0" fillId="29" borderId="0" xfId="0" applyFill="1"/>
    <xf numFmtId="2" fontId="0" fillId="29" borderId="0" xfId="0" applyNumberFormat="1" applyFill="1" applyAlignment="1">
      <alignment horizontal="center"/>
    </xf>
    <xf numFmtId="0" fontId="3" fillId="0" borderId="0" xfId="0" applyFont="1" applyAlignment="1" applyProtection="1">
      <alignment horizontal="left" vertical="top" wrapText="1"/>
    </xf>
    <xf numFmtId="0" fontId="0" fillId="21" borderId="16" xfId="0" applyFill="1" applyBorder="1" applyAlignment="1" applyProtection="1">
      <alignment horizontal="center" vertical="center"/>
    </xf>
    <xf numFmtId="0" fontId="5" fillId="8" borderId="1" xfId="0" applyFont="1" applyFill="1" applyBorder="1"/>
    <xf numFmtId="0" fontId="4" fillId="8" borderId="1"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9"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10" xfId="0" applyFont="1" applyFill="1" applyBorder="1" applyAlignment="1">
      <alignment horizontal="center" vertical="center"/>
    </xf>
    <xf numFmtId="0" fontId="0" fillId="7" borderId="17" xfId="0" applyFill="1" applyBorder="1" applyAlignment="1" applyProtection="1">
      <alignment horizontal="center" vertical="center"/>
      <protection locked="0"/>
    </xf>
    <xf numFmtId="1" fontId="0" fillId="8" borderId="25" xfId="0" applyNumberFormat="1" applyFill="1" applyBorder="1" applyAlignment="1">
      <alignment horizontal="center" vertical="center"/>
    </xf>
    <xf numFmtId="0" fontId="0" fillId="8" borderId="40" xfId="0" applyFill="1" applyBorder="1"/>
    <xf numFmtId="0" fontId="0" fillId="8" borderId="51" xfId="0" applyFill="1" applyBorder="1"/>
    <xf numFmtId="1" fontId="4" fillId="2" borderId="28" xfId="0" applyNumberFormat="1" applyFont="1" applyFill="1" applyBorder="1" applyAlignment="1">
      <alignment horizontal="center" vertical="center"/>
    </xf>
    <xf numFmtId="0" fontId="0" fillId="8" borderId="42" xfId="0" applyFill="1" applyBorder="1" applyAlignment="1">
      <alignment horizontal="center" vertical="center" wrapText="1"/>
    </xf>
    <xf numFmtId="0" fontId="4" fillId="7" borderId="16" xfId="0" applyFont="1" applyFill="1" applyBorder="1" applyAlignment="1" applyProtection="1">
      <alignment horizontal="center" vertical="center" wrapText="1"/>
      <protection locked="0"/>
    </xf>
    <xf numFmtId="0" fontId="4" fillId="8" borderId="10" xfId="0" applyFont="1" applyFill="1" applyBorder="1" applyAlignment="1">
      <alignment horizontal="left" vertical="center"/>
    </xf>
    <xf numFmtId="0" fontId="3" fillId="8" borderId="59" xfId="0" applyFont="1" applyFill="1" applyBorder="1" applyAlignment="1">
      <alignment horizontal="center" vertical="center"/>
    </xf>
    <xf numFmtId="1" fontId="0" fillId="7" borderId="24" xfId="0" applyNumberFormat="1" applyFill="1" applyBorder="1" applyAlignment="1" applyProtection="1">
      <alignment horizontal="center" vertical="center"/>
      <protection locked="0"/>
    </xf>
    <xf numFmtId="164" fontId="0" fillId="8" borderId="17" xfId="0" applyNumberFormat="1" applyFill="1" applyBorder="1" applyAlignment="1">
      <alignment horizontal="center" vertical="center"/>
    </xf>
    <xf numFmtId="0" fontId="0" fillId="8" borderId="40" xfId="0" applyFill="1" applyBorder="1" applyAlignment="1">
      <alignment horizontal="center" vertical="center"/>
    </xf>
    <xf numFmtId="0" fontId="0" fillId="8" borderId="51" xfId="0" applyFill="1" applyBorder="1" applyAlignment="1">
      <alignment horizontal="center" vertical="center"/>
    </xf>
    <xf numFmtId="0" fontId="3" fillId="8" borderId="5" xfId="0" applyFont="1" applyFill="1" applyBorder="1" applyAlignment="1">
      <alignment horizontal="center" vertical="center" wrapText="1"/>
    </xf>
    <xf numFmtId="0" fontId="3" fillId="8" borderId="0" xfId="0" applyFont="1" applyFill="1" applyBorder="1" applyAlignment="1">
      <alignment horizontal="center" vertical="center" wrapText="1"/>
    </xf>
    <xf numFmtId="1" fontId="4" fillId="16" borderId="28" xfId="0" applyNumberFormat="1" applyFont="1" applyFill="1" applyBorder="1" applyAlignment="1">
      <alignment horizontal="center" vertical="center"/>
    </xf>
    <xf numFmtId="2" fontId="0" fillId="7" borderId="52" xfId="0" applyNumberFormat="1" applyFill="1" applyBorder="1" applyAlignment="1" applyProtection="1">
      <alignment horizontal="center" vertical="center"/>
      <protection locked="0"/>
    </xf>
    <xf numFmtId="1" fontId="0" fillId="8" borderId="54" xfId="0" applyNumberFormat="1" applyFill="1" applyBorder="1" applyAlignment="1">
      <alignment horizontal="center" vertical="center"/>
    </xf>
    <xf numFmtId="1" fontId="4" fillId="30" borderId="28" xfId="0" applyNumberFormat="1" applyFont="1" applyFill="1" applyBorder="1" applyAlignment="1">
      <alignment horizontal="center" vertical="center"/>
    </xf>
    <xf numFmtId="0" fontId="4" fillId="8" borderId="5" xfId="0" applyFont="1" applyFill="1" applyBorder="1" applyAlignment="1">
      <alignment horizontal="center" vertical="center"/>
    </xf>
    <xf numFmtId="0" fontId="0" fillId="8" borderId="46" xfId="0" applyFill="1" applyBorder="1"/>
    <xf numFmtId="0" fontId="3" fillId="8" borderId="19" xfId="0" applyFont="1" applyFill="1" applyBorder="1" applyAlignment="1">
      <alignment horizontal="center" vertical="center"/>
    </xf>
    <xf numFmtId="0" fontId="3" fillId="8" borderId="46" xfId="0" applyFont="1" applyFill="1" applyBorder="1" applyAlignment="1">
      <alignment horizontal="center" vertical="center" wrapText="1"/>
    </xf>
    <xf numFmtId="2" fontId="4" fillId="7" borderId="28" xfId="0" applyNumberFormat="1" applyFont="1" applyFill="1" applyBorder="1" applyAlignment="1" applyProtection="1">
      <alignment horizontal="center"/>
      <protection locked="0"/>
    </xf>
    <xf numFmtId="0" fontId="5" fillId="15" borderId="1" xfId="0" applyFont="1" applyFill="1" applyBorder="1" applyProtection="1"/>
    <xf numFmtId="0" fontId="0" fillId="15" borderId="8" xfId="0" applyFill="1" applyBorder="1" applyProtection="1"/>
    <xf numFmtId="0" fontId="3" fillId="15" borderId="5" xfId="0" applyFont="1" applyFill="1" applyBorder="1" applyProtection="1"/>
    <xf numFmtId="0" fontId="0" fillId="15" borderId="0" xfId="0" applyFill="1" applyBorder="1" applyProtection="1"/>
    <xf numFmtId="0" fontId="4" fillId="15" borderId="5" xfId="0" applyFont="1" applyFill="1" applyBorder="1" applyProtection="1"/>
    <xf numFmtId="0" fontId="3" fillId="15" borderId="0" xfId="0" applyFont="1" applyFill="1" applyBorder="1" applyProtection="1"/>
    <xf numFmtId="164" fontId="4" fillId="15" borderId="0" xfId="0" applyNumberFormat="1" applyFont="1" applyFill="1" applyBorder="1" applyAlignment="1" applyProtection="1">
      <alignment horizontal="center" vertical="center"/>
    </xf>
    <xf numFmtId="0" fontId="4" fillId="15" borderId="0" xfId="0" applyFont="1" applyFill="1" applyBorder="1" applyAlignment="1" applyProtection="1">
      <alignment horizontal="center" vertical="center"/>
    </xf>
    <xf numFmtId="0" fontId="3" fillId="15" borderId="3" xfId="0" applyFont="1" applyFill="1" applyBorder="1" applyProtection="1"/>
    <xf numFmtId="0" fontId="3" fillId="15" borderId="11" xfId="0" applyFont="1" applyFill="1" applyBorder="1" applyProtection="1"/>
    <xf numFmtId="0" fontId="4" fillId="2" borderId="1" xfId="0" applyFont="1" applyFill="1" applyBorder="1" applyProtection="1"/>
    <xf numFmtId="0" fontId="4" fillId="15" borderId="8" xfId="0" applyFont="1" applyFill="1" applyBorder="1" applyAlignment="1" applyProtection="1">
      <alignment horizontal="center" vertical="center"/>
    </xf>
    <xf numFmtId="0" fontId="0" fillId="2" borderId="5" xfId="0" applyFill="1" applyBorder="1" applyProtection="1"/>
    <xf numFmtId="0" fontId="3" fillId="15" borderId="0" xfId="0" applyFont="1" applyFill="1" applyBorder="1" applyAlignment="1" applyProtection="1">
      <alignment horizontal="center" vertical="center"/>
    </xf>
    <xf numFmtId="0" fontId="3" fillId="15" borderId="42" xfId="0" applyFont="1" applyFill="1" applyBorder="1" applyProtection="1"/>
    <xf numFmtId="0" fontId="0" fillId="15" borderId="16" xfId="0" applyFill="1" applyBorder="1" applyAlignment="1" applyProtection="1">
      <alignment horizontal="center" vertical="center"/>
    </xf>
    <xf numFmtId="1" fontId="0" fillId="15" borderId="16" xfId="0" applyNumberFormat="1" applyFill="1" applyBorder="1" applyAlignment="1" applyProtection="1">
      <alignment horizontal="center" vertical="center"/>
    </xf>
    <xf numFmtId="0" fontId="0" fillId="15" borderId="19" xfId="0" applyFill="1" applyBorder="1" applyProtection="1"/>
    <xf numFmtId="0" fontId="4" fillId="15" borderId="40" xfId="0" applyFont="1" applyFill="1" applyBorder="1" applyProtection="1"/>
    <xf numFmtId="0" fontId="0" fillId="15" borderId="51" xfId="0" applyFill="1" applyBorder="1" applyAlignment="1" applyProtection="1">
      <alignment horizontal="center" vertical="center"/>
    </xf>
    <xf numFmtId="1" fontId="4" fillId="2" borderId="27" xfId="0" applyNumberFormat="1" applyFont="1" applyFill="1" applyBorder="1" applyAlignment="1" applyProtection="1">
      <alignment horizontal="center" vertical="center"/>
    </xf>
    <xf numFmtId="0" fontId="0" fillId="15" borderId="51" xfId="0" applyFill="1" applyBorder="1" applyProtection="1"/>
    <xf numFmtId="0" fontId="0" fillId="15" borderId="5" xfId="0" applyFill="1" applyBorder="1" applyAlignment="1" applyProtection="1">
      <alignment wrapText="1"/>
    </xf>
    <xf numFmtId="0" fontId="4" fillId="15" borderId="17" xfId="0" applyFont="1" applyFill="1" applyBorder="1" applyAlignment="1" applyProtection="1">
      <alignment horizontal="right" vertical="top"/>
    </xf>
    <xf numFmtId="0" fontId="4" fillId="15" borderId="16" xfId="0" applyFont="1" applyFill="1" applyBorder="1" applyAlignment="1" applyProtection="1">
      <alignment horizontal="center" vertical="center" wrapText="1"/>
    </xf>
    <xf numFmtId="0" fontId="4" fillId="15" borderId="19" xfId="0" applyFont="1" applyFill="1" applyBorder="1" applyAlignment="1" applyProtection="1">
      <alignment wrapText="1"/>
    </xf>
    <xf numFmtId="0" fontId="0" fillId="15" borderId="19" xfId="0" applyFill="1" applyBorder="1" applyAlignment="1" applyProtection="1">
      <alignment wrapText="1"/>
    </xf>
    <xf numFmtId="0" fontId="4" fillId="18" borderId="5" xfId="0" applyFont="1" applyFill="1" applyBorder="1" applyAlignment="1" applyProtection="1">
      <alignment wrapText="1"/>
    </xf>
    <xf numFmtId="0" fontId="3" fillId="15" borderId="16" xfId="0" applyFont="1" applyFill="1" applyBorder="1" applyAlignment="1" applyProtection="1">
      <alignment horizontal="center" vertical="center"/>
    </xf>
    <xf numFmtId="164" fontId="0" fillId="15" borderId="16" xfId="0" applyNumberFormat="1" applyFill="1" applyBorder="1" applyAlignment="1" applyProtection="1">
      <alignment horizontal="center" vertical="center"/>
    </xf>
    <xf numFmtId="1" fontId="4" fillId="18" borderId="16" xfId="0" applyNumberFormat="1" applyFont="1" applyFill="1" applyBorder="1" applyAlignment="1" applyProtection="1">
      <alignment horizontal="center" vertical="center"/>
    </xf>
    <xf numFmtId="0" fontId="0" fillId="15" borderId="1" xfId="0" applyFill="1" applyBorder="1" applyProtection="1"/>
    <xf numFmtId="0" fontId="4" fillId="16" borderId="5" xfId="0" applyFont="1" applyFill="1" applyBorder="1" applyProtection="1"/>
    <xf numFmtId="0" fontId="3" fillId="15" borderId="0" xfId="0" applyFont="1" applyFill="1" applyBorder="1" applyAlignment="1" applyProtection="1">
      <alignment horizontal="center" vertical="center" wrapText="1"/>
    </xf>
    <xf numFmtId="2" fontId="0" fillId="15" borderId="16" xfId="0" applyNumberFormat="1" applyFill="1" applyBorder="1" applyAlignment="1" applyProtection="1">
      <alignment horizontal="center" vertical="center"/>
    </xf>
    <xf numFmtId="165" fontId="0" fillId="15" borderId="16" xfId="0" applyNumberFormat="1" applyFill="1" applyBorder="1" applyAlignment="1" applyProtection="1">
      <alignment horizontal="center" vertical="center"/>
    </xf>
    <xf numFmtId="1" fontId="4" fillId="16" borderId="27" xfId="0" applyNumberFormat="1" applyFont="1" applyFill="1" applyBorder="1" applyAlignment="1" applyProtection="1">
      <alignment horizontal="center" vertical="center"/>
    </xf>
    <xf numFmtId="0" fontId="4" fillId="30" borderId="5" xfId="0" applyFont="1" applyFill="1" applyBorder="1" applyProtection="1"/>
    <xf numFmtId="0" fontId="3" fillId="15" borderId="48" xfId="0" applyFont="1" applyFill="1" applyBorder="1" applyProtection="1"/>
    <xf numFmtId="2" fontId="0" fillId="15" borderId="43" xfId="0" applyNumberFormat="1" applyFill="1" applyBorder="1" applyAlignment="1" applyProtection="1">
      <alignment horizontal="center" vertical="center"/>
    </xf>
    <xf numFmtId="1" fontId="0" fillId="15" borderId="43" xfId="0" applyNumberFormat="1" applyFill="1" applyBorder="1" applyAlignment="1" applyProtection="1">
      <alignment horizontal="center" vertical="center"/>
    </xf>
    <xf numFmtId="0" fontId="0" fillId="15" borderId="49" xfId="0" applyFill="1" applyBorder="1" applyProtection="1"/>
    <xf numFmtId="0" fontId="4" fillId="15" borderId="44" xfId="0" applyFont="1" applyFill="1" applyBorder="1" applyProtection="1"/>
    <xf numFmtId="0" fontId="0" fillId="15" borderId="0" xfId="0" applyFill="1" applyBorder="1" applyAlignment="1" applyProtection="1">
      <alignment horizontal="center" vertical="center"/>
    </xf>
    <xf numFmtId="1" fontId="4" fillId="30" borderId="22" xfId="0" applyNumberFormat="1" applyFont="1" applyFill="1" applyBorder="1" applyAlignment="1" applyProtection="1">
      <alignment horizontal="center" vertical="center"/>
    </xf>
    <xf numFmtId="0" fontId="0" fillId="15" borderId="23" xfId="0" applyFill="1" applyBorder="1" applyProtection="1"/>
    <xf numFmtId="0" fontId="0" fillId="15" borderId="9" xfId="0" applyFill="1" applyBorder="1" applyProtection="1"/>
    <xf numFmtId="0" fontId="5" fillId="15" borderId="5" xfId="0" applyFont="1" applyFill="1" applyBorder="1" applyProtection="1"/>
    <xf numFmtId="0" fontId="0" fillId="15" borderId="10" xfId="0" applyFill="1" applyBorder="1" applyProtection="1"/>
    <xf numFmtId="0" fontId="4" fillId="18" borderId="42" xfId="0" applyFont="1" applyFill="1" applyBorder="1" applyProtection="1"/>
    <xf numFmtId="0" fontId="4" fillId="16" borderId="42" xfId="0" applyFont="1" applyFill="1" applyBorder="1" applyProtection="1"/>
    <xf numFmtId="1" fontId="4" fillId="16" borderId="16" xfId="0" applyNumberFormat="1" applyFont="1" applyFill="1" applyBorder="1" applyAlignment="1" applyProtection="1">
      <alignment horizontal="center" vertical="center"/>
    </xf>
    <xf numFmtId="0" fontId="4" fillId="30" borderId="42" xfId="0" applyFont="1" applyFill="1" applyBorder="1" applyProtection="1"/>
    <xf numFmtId="1" fontId="4" fillId="30" borderId="16" xfId="0" applyNumberFormat="1" applyFont="1" applyFill="1" applyBorder="1" applyAlignment="1" applyProtection="1">
      <alignment horizontal="center" vertical="center"/>
    </xf>
    <xf numFmtId="0" fontId="3" fillId="15" borderId="16" xfId="0" applyFont="1" applyFill="1" applyBorder="1" applyAlignment="1" applyProtection="1">
      <alignment horizontal="center" vertical="center" wrapText="1"/>
    </xf>
    <xf numFmtId="0" fontId="4" fillId="2" borderId="40" xfId="0" applyFont="1" applyFill="1" applyBorder="1" applyProtection="1"/>
    <xf numFmtId="0" fontId="4" fillId="2" borderId="27" xfId="0" applyFont="1" applyFill="1" applyBorder="1" applyAlignment="1" applyProtection="1">
      <alignment horizontal="center" vertical="center"/>
    </xf>
    <xf numFmtId="0" fontId="4" fillId="20" borderId="27" xfId="0" applyFont="1" applyFill="1" applyBorder="1" applyAlignment="1" applyProtection="1">
      <alignment horizontal="center" vertical="center"/>
    </xf>
    <xf numFmtId="2" fontId="4" fillId="15" borderId="27" xfId="0" applyNumberFormat="1" applyFont="1" applyFill="1" applyBorder="1" applyAlignment="1" applyProtection="1">
      <alignment horizontal="center"/>
    </xf>
    <xf numFmtId="0" fontId="4" fillId="0" borderId="0" xfId="0" applyFont="1" applyFill="1" applyBorder="1" applyProtection="1"/>
    <xf numFmtId="164" fontId="4" fillId="0" borderId="0" xfId="0" applyNumberFormat="1" applyFont="1" applyFill="1" applyBorder="1" applyAlignment="1" applyProtection="1">
      <alignment horizontal="center" vertical="center"/>
    </xf>
    <xf numFmtId="0" fontId="0" fillId="0" borderId="0" xfId="0" quotePrefix="1" applyFill="1" applyProtection="1"/>
    <xf numFmtId="0" fontId="3" fillId="0" borderId="0" xfId="0" quotePrefix="1" applyFont="1" applyFill="1" applyBorder="1" applyProtection="1"/>
    <xf numFmtId="0" fontId="4" fillId="20" borderId="51" xfId="0" applyFont="1" applyFill="1" applyBorder="1" applyAlignment="1">
      <alignment horizontal="center" vertical="center"/>
    </xf>
    <xf numFmtId="1" fontId="4" fillId="4" borderId="60" xfId="0" applyNumberFormat="1" applyFont="1" applyFill="1" applyBorder="1" applyAlignment="1">
      <alignment horizontal="center" vertical="center"/>
    </xf>
    <xf numFmtId="0" fontId="0" fillId="8" borderId="49" xfId="0" applyFill="1" applyBorder="1"/>
    <xf numFmtId="0" fontId="0" fillId="8" borderId="50" xfId="0" applyFill="1" applyBorder="1"/>
    <xf numFmtId="0" fontId="4" fillId="2" borderId="26" xfId="0" applyFont="1" applyFill="1" applyBorder="1" applyAlignment="1" applyProtection="1">
      <alignment horizontal="center"/>
    </xf>
    <xf numFmtId="1" fontId="4" fillId="18" borderId="27" xfId="0" applyNumberFormat="1" applyFont="1" applyFill="1" applyBorder="1" applyAlignment="1" applyProtection="1">
      <alignment horizontal="center" vertical="center"/>
    </xf>
    <xf numFmtId="1" fontId="4" fillId="18" borderId="28" xfId="0" applyNumberFormat="1" applyFont="1" applyFill="1" applyBorder="1" applyAlignment="1">
      <alignment horizontal="center" vertical="center"/>
    </xf>
    <xf numFmtId="0" fontId="4" fillId="4" borderId="36" xfId="0" applyFont="1" applyFill="1" applyBorder="1" applyProtection="1"/>
    <xf numFmtId="0" fontId="4" fillId="15" borderId="42" xfId="0" applyFont="1" applyFill="1" applyBorder="1" applyProtection="1"/>
    <xf numFmtId="1" fontId="4" fillId="4" borderId="31" xfId="0" applyNumberFormat="1" applyFont="1" applyFill="1" applyBorder="1" applyAlignment="1" applyProtection="1">
      <alignment horizontal="center" vertical="center"/>
    </xf>
    <xf numFmtId="0" fontId="0" fillId="0" borderId="0" xfId="0" applyAlignment="1" applyProtection="1">
      <alignment horizontal="left" vertical="center"/>
      <protection hidden="1"/>
    </xf>
    <xf numFmtId="0" fontId="1" fillId="0" borderId="0" xfId="0" applyFont="1" applyProtection="1">
      <protection hidden="1"/>
    </xf>
    <xf numFmtId="0" fontId="0" fillId="0" borderId="0" xfId="0" applyAlignment="1" applyProtection="1">
      <alignment horizontal="center"/>
    </xf>
    <xf numFmtId="0" fontId="1" fillId="0" borderId="0" xfId="0" applyFont="1" applyAlignment="1" applyProtection="1">
      <alignment horizontal="center" vertical="center"/>
    </xf>
    <xf numFmtId="0" fontId="0" fillId="25" borderId="0" xfId="0" applyFill="1" applyProtection="1"/>
    <xf numFmtId="0" fontId="0" fillId="4" borderId="16" xfId="0" applyFill="1" applyBorder="1" applyAlignment="1" applyProtection="1">
      <alignment horizontal="center" vertical="center"/>
    </xf>
    <xf numFmtId="0" fontId="0" fillId="4" borderId="16" xfId="0" applyFill="1" applyBorder="1" applyAlignment="1" applyProtection="1">
      <alignment horizontal="left" vertical="center"/>
    </xf>
    <xf numFmtId="0" fontId="0" fillId="4" borderId="16" xfId="0" applyFill="1" applyBorder="1" applyProtection="1"/>
    <xf numFmtId="2" fontId="0" fillId="0" borderId="0" xfId="0" applyNumberFormat="1" applyFill="1" applyBorder="1" applyAlignment="1" applyProtection="1">
      <alignment horizontal="left"/>
    </xf>
    <xf numFmtId="0" fontId="0" fillId="10" borderId="0" xfId="0" applyFill="1" applyProtection="1"/>
    <xf numFmtId="0" fontId="1" fillId="10" borderId="0" xfId="0" applyFont="1" applyFill="1" applyProtection="1"/>
    <xf numFmtId="0" fontId="21" fillId="0" borderId="0" xfId="0" applyFont="1" applyProtection="1"/>
    <xf numFmtId="0" fontId="0" fillId="8" borderId="8" xfId="0" applyFill="1" applyBorder="1" applyProtection="1"/>
    <xf numFmtId="0" fontId="1" fillId="0" borderId="0" xfId="0" applyFont="1" applyAlignment="1" applyProtection="1">
      <alignment horizontal="center"/>
    </xf>
    <xf numFmtId="0" fontId="11" fillId="8" borderId="0" xfId="0" applyFont="1" applyFill="1" applyBorder="1" applyProtection="1"/>
    <xf numFmtId="0" fontId="0" fillId="8" borderId="0" xfId="0" applyFill="1" applyBorder="1" applyProtection="1"/>
    <xf numFmtId="0" fontId="1" fillId="8" borderId="0" xfId="0" applyFont="1" applyFill="1" applyBorder="1" applyProtection="1"/>
    <xf numFmtId="0" fontId="0" fillId="8" borderId="16" xfId="0" applyFill="1" applyBorder="1" applyProtection="1"/>
    <xf numFmtId="0" fontId="0" fillId="16" borderId="16" xfId="0" applyFill="1" applyBorder="1" applyAlignment="1" applyProtection="1">
      <alignment horizontal="center" vertical="center"/>
    </xf>
    <xf numFmtId="164" fontId="0" fillId="8" borderId="5" xfId="0" applyNumberFormat="1" applyFill="1" applyBorder="1" applyProtection="1"/>
    <xf numFmtId="0" fontId="0" fillId="10" borderId="16" xfId="0" applyFill="1" applyBorder="1" applyAlignment="1" applyProtection="1">
      <alignment horizontal="right" vertical="center"/>
    </xf>
    <xf numFmtId="0" fontId="0" fillId="10" borderId="0" xfId="0" applyFill="1" applyAlignment="1" applyProtection="1">
      <alignment horizontal="right"/>
    </xf>
    <xf numFmtId="0" fontId="0" fillId="16" borderId="0" xfId="0" applyFill="1" applyAlignment="1" applyProtection="1">
      <alignment horizontal="center" vertical="center"/>
    </xf>
    <xf numFmtId="164" fontId="0" fillId="0" borderId="0" xfId="0" applyNumberFormat="1" applyFill="1" applyBorder="1" applyAlignment="1" applyProtection="1">
      <alignment horizontal="center"/>
    </xf>
    <xf numFmtId="164" fontId="0" fillId="0" borderId="0" xfId="0" applyNumberFormat="1" applyFill="1" applyAlignment="1" applyProtection="1">
      <alignment horizontal="center"/>
    </xf>
    <xf numFmtId="0" fontId="0" fillId="8" borderId="16" xfId="0" applyFill="1" applyBorder="1" applyAlignment="1" applyProtection="1">
      <alignment horizontal="center" vertical="center"/>
    </xf>
    <xf numFmtId="0" fontId="0" fillId="0" borderId="0" xfId="0" applyAlignment="1" applyProtection="1">
      <alignment horizontal="right" vertical="center"/>
    </xf>
    <xf numFmtId="164" fontId="0" fillId="0" borderId="0" xfId="0" applyNumberFormat="1" applyFill="1" applyAlignment="1" applyProtection="1">
      <alignment horizontal="center" vertical="center"/>
    </xf>
    <xf numFmtId="0" fontId="0" fillId="16" borderId="0" xfId="0" applyFill="1" applyBorder="1" applyAlignment="1" applyProtection="1">
      <alignment horizontal="center" vertical="center"/>
    </xf>
    <xf numFmtId="0" fontId="0" fillId="16" borderId="17" xfId="0" applyFill="1" applyBorder="1" applyAlignment="1" applyProtection="1">
      <alignment horizontal="center" vertical="center"/>
    </xf>
    <xf numFmtId="1" fontId="0" fillId="16" borderId="16" xfId="0" applyNumberFormat="1" applyFill="1" applyBorder="1" applyAlignment="1" applyProtection="1">
      <alignment horizontal="center" vertical="center"/>
    </xf>
    <xf numFmtId="164" fontId="0" fillId="21" borderId="16" xfId="0" applyNumberFormat="1" applyFill="1" applyBorder="1" applyAlignment="1" applyProtection="1">
      <alignment horizontal="center" vertical="center"/>
    </xf>
    <xf numFmtId="0" fontId="0" fillId="21" borderId="0" xfId="0" applyFill="1" applyBorder="1" applyProtection="1"/>
    <xf numFmtId="0" fontId="0" fillId="21" borderId="0" xfId="0" applyFill="1" applyProtection="1"/>
    <xf numFmtId="0" fontId="0" fillId="8" borderId="11" xfId="0" applyFill="1" applyBorder="1" applyProtection="1"/>
    <xf numFmtId="0" fontId="0" fillId="10" borderId="0" xfId="0" applyFill="1" applyBorder="1" applyProtection="1"/>
    <xf numFmtId="0" fontId="1" fillId="0" borderId="0" xfId="0" applyFont="1" applyBorder="1" applyProtection="1"/>
    <xf numFmtId="0" fontId="0" fillId="8" borderId="17" xfId="0" applyFill="1" applyBorder="1" applyProtection="1"/>
    <xf numFmtId="0" fontId="0" fillId="8" borderId="19" xfId="0" applyFill="1" applyBorder="1" applyProtection="1"/>
    <xf numFmtId="0" fontId="1" fillId="8" borderId="17" xfId="0" applyFont="1" applyFill="1" applyBorder="1" applyProtection="1"/>
    <xf numFmtId="0" fontId="0" fillId="8" borderId="19" xfId="0" applyFill="1" applyBorder="1" applyAlignment="1" applyProtection="1"/>
    <xf numFmtId="0" fontId="0" fillId="8" borderId="18" xfId="0" applyFill="1" applyBorder="1" applyAlignment="1" applyProtection="1"/>
    <xf numFmtId="0" fontId="1" fillId="10" borderId="16" xfId="0" applyFont="1" applyFill="1" applyBorder="1" applyAlignment="1" applyProtection="1">
      <alignment horizontal="center" vertical="center"/>
    </xf>
    <xf numFmtId="9" fontId="0" fillId="0" borderId="0" xfId="0" applyNumberFormat="1" applyFill="1" applyAlignment="1" applyProtection="1">
      <alignment horizontal="center" vertical="center"/>
    </xf>
    <xf numFmtId="0" fontId="0" fillId="8" borderId="19" xfId="0" quotePrefix="1" applyFill="1" applyBorder="1" applyAlignment="1" applyProtection="1"/>
    <xf numFmtId="0" fontId="0" fillId="8" borderId="18" xfId="0" quotePrefix="1" applyFill="1" applyBorder="1" applyAlignment="1" applyProtection="1"/>
    <xf numFmtId="0" fontId="15" fillId="0" borderId="0" xfId="0" applyFont="1" applyProtection="1"/>
    <xf numFmtId="0" fontId="0" fillId="0" borderId="0" xfId="0" applyAlignment="1" applyProtection="1">
      <alignment horizontal="right"/>
    </xf>
    <xf numFmtId="1" fontId="0" fillId="22" borderId="16" xfId="0" applyNumberFormat="1" applyFill="1" applyBorder="1" applyAlignment="1" applyProtection="1">
      <alignment horizontal="center" vertical="center"/>
    </xf>
    <xf numFmtId="0" fontId="0" fillId="10" borderId="0" xfId="0" quotePrefix="1" applyFill="1" applyBorder="1" applyProtection="1"/>
    <xf numFmtId="0" fontId="0" fillId="10" borderId="0" xfId="0" applyFill="1" applyAlignment="1" applyProtection="1">
      <alignment vertical="center"/>
    </xf>
    <xf numFmtId="0" fontId="22" fillId="10" borderId="0" xfId="0" applyFont="1" applyFill="1" applyAlignment="1" applyProtection="1">
      <alignment vertical="center"/>
    </xf>
    <xf numFmtId="0" fontId="22" fillId="13" borderId="0" xfId="0" applyFont="1" applyFill="1" applyAlignment="1" applyProtection="1">
      <alignment horizontal="center" vertical="center"/>
    </xf>
    <xf numFmtId="0" fontId="0" fillId="8" borderId="17" xfId="0" applyFont="1" applyFill="1" applyBorder="1" applyProtection="1"/>
    <xf numFmtId="0" fontId="1" fillId="10" borderId="0" xfId="0" applyFont="1" applyFill="1" applyBorder="1" applyProtection="1"/>
    <xf numFmtId="0" fontId="0" fillId="10" borderId="0" xfId="0" applyFill="1" applyBorder="1" applyAlignment="1" applyProtection="1">
      <alignment horizontal="center"/>
    </xf>
    <xf numFmtId="0" fontId="0" fillId="13" borderId="0" xfId="0" applyFill="1" applyAlignment="1" applyProtection="1">
      <alignment horizontal="center" vertical="center"/>
    </xf>
    <xf numFmtId="0" fontId="0" fillId="10" borderId="31" xfId="0" applyFill="1" applyBorder="1" applyAlignment="1" applyProtection="1">
      <alignment horizontal="center" vertical="center"/>
    </xf>
    <xf numFmtId="0" fontId="0" fillId="10" borderId="2" xfId="0" applyFill="1" applyBorder="1" applyAlignment="1" applyProtection="1">
      <alignment horizontal="center" vertical="center"/>
    </xf>
    <xf numFmtId="0" fontId="0" fillId="10" borderId="17" xfId="0" applyFill="1" applyBorder="1" applyProtection="1"/>
    <xf numFmtId="0" fontId="0" fillId="10" borderId="19" xfId="0" applyFill="1" applyBorder="1" applyProtection="1"/>
    <xf numFmtId="0" fontId="0" fillId="10" borderId="16" xfId="0" applyFill="1" applyBorder="1" applyAlignment="1" applyProtection="1">
      <alignment horizontal="left" vertical="center"/>
    </xf>
    <xf numFmtId="0" fontId="0" fillId="10" borderId="0" xfId="0" applyFill="1" applyBorder="1" applyAlignment="1" applyProtection="1">
      <alignment horizontal="left" vertical="center"/>
    </xf>
    <xf numFmtId="0" fontId="0" fillId="10" borderId="16" xfId="0" applyFill="1" applyBorder="1" applyProtection="1"/>
    <xf numFmtId="0" fontId="0" fillId="10" borderId="32" xfId="0" applyFill="1" applyBorder="1" applyProtection="1"/>
    <xf numFmtId="165" fontId="0" fillId="21" borderId="16" xfId="0" applyNumberFormat="1" applyFill="1" applyBorder="1" applyAlignment="1" applyProtection="1">
      <alignment horizontal="center" vertical="center"/>
    </xf>
    <xf numFmtId="0" fontId="0" fillId="10" borderId="19" xfId="0" applyFill="1" applyBorder="1" applyAlignment="1" applyProtection="1">
      <alignment horizontal="center" vertical="center"/>
    </xf>
    <xf numFmtId="2" fontId="0" fillId="21" borderId="0" xfId="0" applyNumberFormat="1" applyFill="1" applyBorder="1" applyAlignment="1" applyProtection="1">
      <alignment horizontal="center" vertical="center"/>
    </xf>
    <xf numFmtId="2" fontId="0" fillId="10" borderId="16" xfId="0" applyNumberFormat="1" applyFill="1" applyBorder="1" applyAlignment="1" applyProtection="1">
      <alignment horizontal="center" vertical="center"/>
    </xf>
    <xf numFmtId="2" fontId="0" fillId="10" borderId="17" xfId="0" applyNumberFormat="1" applyFill="1" applyBorder="1" applyAlignment="1" applyProtection="1">
      <alignment horizontal="center" vertical="center"/>
    </xf>
    <xf numFmtId="2" fontId="0" fillId="10" borderId="32" xfId="0" applyNumberFormat="1" applyFill="1" applyBorder="1" applyAlignment="1" applyProtection="1">
      <alignment horizontal="center" vertical="center"/>
    </xf>
    <xf numFmtId="0" fontId="0" fillId="10" borderId="16" xfId="0" applyFill="1" applyBorder="1" applyAlignment="1" applyProtection="1">
      <alignment horizontal="left"/>
    </xf>
    <xf numFmtId="2" fontId="0" fillId="21" borderId="32" xfId="0" applyNumberFormat="1" applyFill="1" applyBorder="1" applyAlignment="1" applyProtection="1">
      <alignment horizontal="center" vertical="center"/>
    </xf>
    <xf numFmtId="2" fontId="0" fillId="10" borderId="16" xfId="0" applyNumberFormat="1" applyFill="1" applyBorder="1" applyAlignment="1" applyProtection="1">
      <alignment horizontal="left" vertical="center"/>
    </xf>
    <xf numFmtId="165" fontId="0" fillId="21" borderId="16" xfId="0" applyNumberFormat="1" applyFill="1" applyBorder="1" applyProtection="1"/>
    <xf numFmtId="0" fontId="1" fillId="10" borderId="0" xfId="0" applyFont="1" applyFill="1" applyAlignment="1" applyProtection="1">
      <alignment horizontal="center" vertical="center"/>
    </xf>
    <xf numFmtId="0" fontId="0" fillId="10" borderId="33" xfId="0" applyFill="1" applyBorder="1" applyProtection="1"/>
    <xf numFmtId="0" fontId="0" fillId="0" borderId="0" xfId="0" applyFill="1" applyBorder="1" applyAlignment="1" applyProtection="1">
      <alignment vertical="center"/>
    </xf>
    <xf numFmtId="0" fontId="0" fillId="21" borderId="16" xfId="0" applyFill="1" applyBorder="1" applyAlignment="1" applyProtection="1">
      <alignment horizontal="left" vertical="center"/>
    </xf>
    <xf numFmtId="1" fontId="0" fillId="21" borderId="16" xfId="0" applyNumberFormat="1" applyFill="1" applyBorder="1" applyAlignment="1" applyProtection="1">
      <alignment horizontal="center" vertical="center"/>
    </xf>
    <xf numFmtId="1" fontId="0" fillId="21" borderId="0" xfId="0" applyNumberFormat="1" applyFill="1" applyBorder="1" applyAlignment="1" applyProtection="1">
      <alignment horizontal="center" vertical="center"/>
    </xf>
    <xf numFmtId="0" fontId="0" fillId="5" borderId="0" xfId="0" applyFill="1" applyProtection="1"/>
    <xf numFmtId="0" fontId="0" fillId="10" borderId="1" xfId="0" applyFill="1" applyBorder="1" applyProtection="1"/>
    <xf numFmtId="0" fontId="0" fillId="10" borderId="8" xfId="0" applyFill="1" applyBorder="1" applyProtection="1"/>
    <xf numFmtId="0" fontId="1" fillId="10" borderId="8" xfId="0" applyFont="1" applyFill="1" applyBorder="1" applyProtection="1"/>
    <xf numFmtId="0" fontId="0" fillId="10" borderId="1" xfId="0" applyFill="1" applyBorder="1" applyAlignment="1" applyProtection="1">
      <alignment horizontal="left"/>
    </xf>
    <xf numFmtId="0" fontId="11" fillId="10" borderId="8" xfId="0" applyFont="1" applyFill="1" applyBorder="1" applyProtection="1"/>
    <xf numFmtId="0" fontId="0" fillId="10" borderId="9" xfId="0" applyFill="1" applyBorder="1" applyProtection="1"/>
    <xf numFmtId="0" fontId="0" fillId="10" borderId="5" xfId="0" applyFill="1" applyBorder="1" applyProtection="1"/>
    <xf numFmtId="0" fontId="11" fillId="10" borderId="0" xfId="0" applyFont="1" applyFill="1" applyBorder="1" applyProtection="1"/>
    <xf numFmtId="0" fontId="0" fillId="10" borderId="0" xfId="0" applyFill="1" applyBorder="1" applyAlignment="1" applyProtection="1"/>
    <xf numFmtId="0" fontId="0" fillId="16" borderId="24" xfId="0" applyFill="1" applyBorder="1" applyAlignment="1" applyProtection="1">
      <alignment horizontal="center" vertical="center"/>
    </xf>
    <xf numFmtId="0" fontId="0" fillId="10" borderId="10" xfId="0" applyFill="1" applyBorder="1" applyProtection="1"/>
    <xf numFmtId="0" fontId="0" fillId="10" borderId="0" xfId="0" applyFill="1" applyBorder="1" applyAlignment="1" applyProtection="1">
      <alignment horizontal="left"/>
    </xf>
    <xf numFmtId="0" fontId="0" fillId="10" borderId="0" xfId="0" applyFill="1" applyBorder="1" applyAlignment="1" applyProtection="1">
      <alignment horizontal="center" vertical="center"/>
    </xf>
    <xf numFmtId="0" fontId="0" fillId="0" borderId="0" xfId="0" quotePrefix="1" applyProtection="1"/>
    <xf numFmtId="2" fontId="0" fillId="21" borderId="0" xfId="0" applyNumberFormat="1" applyFill="1" applyAlignment="1" applyProtection="1">
      <alignment horizontal="center" vertical="center"/>
    </xf>
    <xf numFmtId="2" fontId="0" fillId="10" borderId="0" xfId="0" applyNumberFormat="1" applyFill="1" applyBorder="1" applyAlignment="1" applyProtection="1">
      <alignment horizontal="center" vertical="center"/>
    </xf>
    <xf numFmtId="0" fontId="0" fillId="2" borderId="0" xfId="0" applyFill="1" applyProtection="1"/>
    <xf numFmtId="0" fontId="0" fillId="2" borderId="0" xfId="0" applyFill="1" applyAlignment="1" applyProtection="1">
      <alignment horizontal="center" vertical="center"/>
    </xf>
    <xf numFmtId="0" fontId="0" fillId="10" borderId="3" xfId="0" applyFill="1" applyBorder="1" applyProtection="1"/>
    <xf numFmtId="0" fontId="0" fillId="10" borderId="11" xfId="0" applyFill="1" applyBorder="1" applyProtection="1"/>
    <xf numFmtId="0" fontId="0" fillId="21" borderId="11" xfId="0" applyFill="1" applyBorder="1" applyProtection="1"/>
    <xf numFmtId="0" fontId="0" fillId="10" borderId="11" xfId="0" quotePrefix="1" applyFill="1" applyBorder="1" applyProtection="1"/>
    <xf numFmtId="0" fontId="0" fillId="10" borderId="12" xfId="0" applyFill="1" applyBorder="1" applyProtection="1"/>
    <xf numFmtId="0" fontId="0" fillId="16" borderId="1" xfId="0" applyFill="1" applyBorder="1" applyProtection="1"/>
    <xf numFmtId="0" fontId="0" fillId="10" borderId="5" xfId="0" applyFill="1" applyBorder="1" applyAlignment="1" applyProtection="1">
      <alignment horizontal="center" vertical="center"/>
    </xf>
    <xf numFmtId="0" fontId="0" fillId="21" borderId="24" xfId="0" applyFill="1" applyBorder="1" applyAlignment="1" applyProtection="1">
      <alignment horizontal="center" vertical="center"/>
    </xf>
    <xf numFmtId="0" fontId="0" fillId="21" borderId="16" xfId="0" applyFill="1" applyBorder="1" applyProtection="1"/>
    <xf numFmtId="0" fontId="0" fillId="21" borderId="25" xfId="0" applyFill="1" applyBorder="1" applyProtection="1"/>
    <xf numFmtId="165" fontId="0" fillId="10" borderId="16" xfId="0" applyNumberForma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165" fontId="0" fillId="10" borderId="5" xfId="0" applyNumberFormat="1" applyFill="1" applyBorder="1" applyAlignment="1" applyProtection="1">
      <alignment horizontal="center" vertical="center"/>
    </xf>
    <xf numFmtId="165" fontId="0" fillId="10" borderId="0" xfId="0" applyNumberFormat="1" applyFill="1" applyBorder="1" applyAlignment="1" applyProtection="1">
      <alignment horizontal="center" vertical="center"/>
    </xf>
    <xf numFmtId="0" fontId="0" fillId="10" borderId="10" xfId="0" applyFill="1" applyBorder="1" applyAlignment="1" applyProtection="1">
      <alignment horizontal="center" vertical="center"/>
    </xf>
    <xf numFmtId="165" fontId="0" fillId="21" borderId="24" xfId="0" applyNumberFormat="1" applyFill="1" applyBorder="1" applyAlignment="1" applyProtection="1">
      <alignment horizontal="center" vertical="center"/>
    </xf>
    <xf numFmtId="164" fontId="0" fillId="10" borderId="16" xfId="0" applyNumberFormat="1" applyFill="1" applyBorder="1" applyAlignment="1" applyProtection="1">
      <alignment horizontal="center" vertical="center"/>
    </xf>
    <xf numFmtId="164" fontId="0" fillId="10" borderId="0" xfId="0" applyNumberFormat="1" applyFill="1" applyBorder="1" applyAlignment="1" applyProtection="1">
      <alignment horizontal="center" vertical="center"/>
    </xf>
    <xf numFmtId="165" fontId="0" fillId="10" borderId="0" xfId="0" applyNumberFormat="1" applyFill="1" applyBorder="1" applyProtection="1"/>
    <xf numFmtId="165" fontId="0" fillId="10" borderId="3" xfId="0" applyNumberFormat="1" applyFill="1" applyBorder="1" applyProtection="1"/>
    <xf numFmtId="165" fontId="0" fillId="10" borderId="11" xfId="0" applyNumberFormat="1" applyFill="1" applyBorder="1" applyAlignment="1" applyProtection="1">
      <alignment horizontal="center" vertical="center"/>
    </xf>
    <xf numFmtId="0" fontId="0" fillId="10" borderId="12" xfId="0" applyFill="1" applyBorder="1" applyAlignment="1" applyProtection="1">
      <alignment horizontal="center" vertical="center"/>
    </xf>
    <xf numFmtId="165" fontId="0" fillId="21" borderId="26" xfId="0" applyNumberFormat="1" applyFill="1" applyBorder="1" applyProtection="1"/>
    <xf numFmtId="165" fontId="0" fillId="21" borderId="27" xfId="0" applyNumberFormat="1" applyFill="1" applyBorder="1" applyAlignment="1" applyProtection="1">
      <alignment horizontal="center" vertical="center"/>
    </xf>
    <xf numFmtId="0" fontId="0" fillId="21" borderId="27" xfId="0" applyFill="1" applyBorder="1" applyAlignment="1" applyProtection="1">
      <alignment horizontal="center" vertical="center"/>
    </xf>
    <xf numFmtId="165" fontId="0" fillId="21" borderId="27" xfId="0" applyNumberFormat="1" applyFill="1" applyBorder="1" applyProtection="1"/>
    <xf numFmtId="0" fontId="0" fillId="21" borderId="28" xfId="0" applyFill="1" applyBorder="1" applyProtection="1"/>
    <xf numFmtId="0" fontId="5" fillId="0" borderId="0" xfId="0" quotePrefix="1" applyFont="1" applyAlignment="1" applyProtection="1">
      <alignment horizontal="left"/>
    </xf>
    <xf numFmtId="0" fontId="0" fillId="10" borderId="20" xfId="0" applyFill="1" applyBorder="1" applyProtection="1"/>
    <xf numFmtId="0" fontId="1" fillId="0" borderId="0" xfId="0" applyFont="1" applyFill="1" applyBorder="1" applyAlignment="1" applyProtection="1"/>
    <xf numFmtId="1" fontId="0" fillId="0" borderId="0" xfId="0" applyNumberFormat="1" applyFill="1" applyBorder="1" applyProtection="1"/>
    <xf numFmtId="164" fontId="0" fillId="0" borderId="0" xfId="0" applyNumberFormat="1" applyFill="1" applyBorder="1" applyProtection="1"/>
    <xf numFmtId="0" fontId="4" fillId="10" borderId="1" xfId="0" quotePrefix="1" applyFont="1" applyFill="1" applyBorder="1" applyAlignment="1" applyProtection="1">
      <alignment horizontal="left"/>
    </xf>
    <xf numFmtId="0" fontId="0" fillId="10" borderId="2" xfId="0" applyFill="1" applyBorder="1" applyProtection="1"/>
    <xf numFmtId="2" fontId="0" fillId="0" borderId="0" xfId="0" applyNumberFormat="1" applyFill="1" applyBorder="1" applyProtection="1"/>
    <xf numFmtId="0" fontId="0" fillId="10" borderId="6" xfId="0" applyFill="1" applyBorder="1" applyAlignment="1" applyProtection="1">
      <alignment horizontal="center"/>
    </xf>
    <xf numFmtId="0" fontId="0" fillId="10" borderId="24" xfId="0" applyFill="1" applyBorder="1" applyProtection="1"/>
    <xf numFmtId="2" fontId="0" fillId="10" borderId="25" xfId="0" applyNumberFormat="1" applyFill="1" applyBorder="1" applyAlignment="1" applyProtection="1">
      <alignment horizontal="center"/>
    </xf>
    <xf numFmtId="0" fontId="0" fillId="10" borderId="24" xfId="0" quotePrefix="1" applyFill="1" applyBorder="1" applyAlignment="1" applyProtection="1">
      <alignment horizontal="left"/>
    </xf>
    <xf numFmtId="0" fontId="0" fillId="10" borderId="26" xfId="0" applyFill="1" applyBorder="1" applyProtection="1"/>
    <xf numFmtId="2" fontId="0" fillId="10" borderId="28" xfId="0" applyNumberFormat="1" applyFill="1" applyBorder="1" applyAlignment="1" applyProtection="1">
      <alignment horizontal="center"/>
    </xf>
    <xf numFmtId="0" fontId="0" fillId="8" borderId="0" xfId="0" applyFill="1" applyProtection="1"/>
    <xf numFmtId="0" fontId="0" fillId="10" borderId="8" xfId="0" applyFill="1" applyBorder="1" applyAlignment="1" applyProtection="1">
      <alignment horizontal="center"/>
    </xf>
    <xf numFmtId="0" fontId="0" fillId="10" borderId="29" xfId="0" applyFill="1" applyBorder="1" applyProtection="1"/>
    <xf numFmtId="0" fontId="1" fillId="8" borderId="0" xfId="0" applyFont="1" applyFill="1" applyProtection="1"/>
    <xf numFmtId="0" fontId="0" fillId="0" borderId="0" xfId="0" applyFont="1" applyFill="1" applyBorder="1" applyProtection="1"/>
    <xf numFmtId="0" fontId="0" fillId="10" borderId="38" xfId="0" applyFont="1" applyFill="1" applyBorder="1" applyProtection="1"/>
    <xf numFmtId="0" fontId="0" fillId="10" borderId="39" xfId="0" applyFill="1" applyBorder="1" applyProtection="1"/>
    <xf numFmtId="0" fontId="0" fillId="10" borderId="35" xfId="0" applyFill="1" applyBorder="1" applyProtection="1"/>
    <xf numFmtId="0" fontId="0" fillId="10" borderId="34" xfId="0" applyFont="1" applyFill="1" applyBorder="1" applyAlignment="1" applyProtection="1">
      <alignment horizontal="center" vertical="center"/>
    </xf>
    <xf numFmtId="0" fontId="0" fillId="10" borderId="21" xfId="0" applyFill="1" applyBorder="1" applyProtection="1"/>
    <xf numFmtId="0" fontId="0" fillId="10" borderId="37" xfId="0" applyFill="1" applyBorder="1" applyProtection="1"/>
    <xf numFmtId="0" fontId="0" fillId="10" borderId="38" xfId="0" applyFont="1" applyFill="1" applyBorder="1" applyAlignment="1" applyProtection="1">
      <alignment horizontal="center" vertical="center"/>
    </xf>
    <xf numFmtId="0" fontId="0" fillId="8" borderId="16" xfId="0" applyFill="1" applyBorder="1" applyAlignment="1" applyProtection="1">
      <alignment wrapText="1"/>
    </xf>
    <xf numFmtId="165" fontId="0" fillId="21" borderId="24" xfId="0" applyNumberFormat="1" applyFont="1" applyFill="1" applyBorder="1" applyAlignment="1" applyProtection="1">
      <alignment horizontal="center" vertical="center"/>
    </xf>
    <xf numFmtId="165" fontId="0" fillId="23" borderId="17" xfId="0" applyNumberFormat="1" applyFill="1" applyBorder="1" applyAlignment="1" applyProtection="1">
      <alignment horizontal="center" vertical="center"/>
    </xf>
    <xf numFmtId="165" fontId="0" fillId="23" borderId="25" xfId="0" applyNumberFormat="1" applyFill="1" applyBorder="1" applyAlignment="1" applyProtection="1">
      <alignment horizontal="center" vertical="center"/>
    </xf>
    <xf numFmtId="164" fontId="0" fillId="10" borderId="25" xfId="0" applyNumberFormat="1" applyFill="1" applyBorder="1" applyAlignment="1" applyProtection="1">
      <alignment horizontal="center" vertical="center"/>
    </xf>
    <xf numFmtId="0" fontId="0" fillId="0" borderId="0" xfId="0" applyBorder="1" applyAlignment="1" applyProtection="1">
      <alignment horizontal="center"/>
    </xf>
    <xf numFmtId="165" fontId="0" fillId="23" borderId="16" xfId="0" applyNumberFormat="1" applyFill="1" applyBorder="1" applyAlignment="1" applyProtection="1">
      <alignment horizontal="center" vertical="center"/>
    </xf>
    <xf numFmtId="165" fontId="0" fillId="10" borderId="24" xfId="0" applyNumberFormat="1" applyFont="1" applyFill="1" applyBorder="1" applyAlignment="1" applyProtection="1">
      <alignment horizontal="center" vertical="center"/>
    </xf>
    <xf numFmtId="165" fontId="0" fillId="10" borderId="17" xfId="0" applyNumberFormat="1" applyFill="1" applyBorder="1" applyAlignment="1" applyProtection="1">
      <alignment horizontal="center" vertical="center"/>
    </xf>
    <xf numFmtId="165" fontId="0" fillId="10" borderId="24" xfId="0" applyNumberFormat="1" applyFill="1" applyBorder="1" applyAlignment="1" applyProtection="1">
      <alignment horizontal="center" vertical="center"/>
    </xf>
    <xf numFmtId="165" fontId="0" fillId="10" borderId="25" xfId="0" applyNumberFormat="1" applyFill="1" applyBorder="1" applyAlignment="1" applyProtection="1">
      <alignment horizontal="center" vertical="center"/>
    </xf>
    <xf numFmtId="0" fontId="0" fillId="10" borderId="41" xfId="0" applyFill="1" applyBorder="1" applyProtection="1"/>
    <xf numFmtId="165" fontId="0" fillId="10" borderId="16" xfId="0" applyNumberFormat="1" applyFill="1" applyBorder="1" applyAlignment="1" applyProtection="1">
      <alignment vertical="center"/>
    </xf>
    <xf numFmtId="165" fontId="0" fillId="10" borderId="25" xfId="0" applyNumberFormat="1" applyFill="1" applyBorder="1" applyProtection="1"/>
    <xf numFmtId="165" fontId="0" fillId="21" borderId="40" xfId="0" applyNumberFormat="1" applyFont="1" applyFill="1" applyBorder="1" applyAlignment="1" applyProtection="1">
      <alignment horizontal="center" vertical="center"/>
    </xf>
    <xf numFmtId="165" fontId="0" fillId="21" borderId="27" xfId="0" applyNumberFormat="1" applyFont="1" applyFill="1" applyBorder="1" applyAlignment="1" applyProtection="1">
      <alignment horizontal="center" vertical="center"/>
    </xf>
    <xf numFmtId="165" fontId="0" fillId="23" borderId="30" xfId="0" applyNumberFormat="1" applyFill="1" applyBorder="1" applyAlignment="1" applyProtection="1">
      <alignment horizontal="center" vertical="center"/>
    </xf>
    <xf numFmtId="165" fontId="0" fillId="21" borderId="26" xfId="0" applyNumberFormat="1" applyFill="1" applyBorder="1" applyAlignment="1" applyProtection="1">
      <alignment horizontal="center" vertical="center"/>
    </xf>
    <xf numFmtId="165" fontId="0" fillId="23" borderId="28" xfId="0" applyNumberFormat="1" applyFill="1" applyBorder="1" applyAlignment="1" applyProtection="1">
      <alignment horizontal="center" vertical="center"/>
    </xf>
    <xf numFmtId="165" fontId="0" fillId="23" borderId="27" xfId="0" applyNumberFormat="1" applyFill="1" applyBorder="1" applyAlignment="1" applyProtection="1">
      <alignment horizontal="center" vertical="center"/>
    </xf>
    <xf numFmtId="165" fontId="0" fillId="21" borderId="26" xfId="0" applyNumberFormat="1" applyFont="1" applyFill="1" applyBorder="1" applyAlignment="1" applyProtection="1">
      <alignment horizontal="center" vertical="center"/>
    </xf>
    <xf numFmtId="2" fontId="0" fillId="15" borderId="0" xfId="0" applyNumberFormat="1" applyFill="1" applyBorder="1" applyProtection="1"/>
    <xf numFmtId="0" fontId="0" fillId="10" borderId="8" xfId="0" applyFill="1" applyBorder="1" applyAlignment="1" applyProtection="1">
      <alignment horizontal="center" vertical="center"/>
    </xf>
    <xf numFmtId="0" fontId="0" fillId="10" borderId="9" xfId="0" applyFill="1" applyBorder="1" applyAlignment="1" applyProtection="1">
      <alignment horizontal="center" vertical="center"/>
    </xf>
    <xf numFmtId="0" fontId="0" fillId="10" borderId="1" xfId="0" applyFill="1" applyBorder="1" applyAlignment="1" applyProtection="1">
      <alignment horizontal="center" vertical="center"/>
    </xf>
    <xf numFmtId="2" fontId="0" fillId="23" borderId="0" xfId="0" applyNumberFormat="1" applyFill="1" applyBorder="1" applyAlignment="1" applyProtection="1">
      <alignment horizontal="center" vertical="center"/>
    </xf>
    <xf numFmtId="2" fontId="0" fillId="23" borderId="10" xfId="0" applyNumberFormat="1" applyFill="1" applyBorder="1" applyAlignment="1" applyProtection="1">
      <alignment horizontal="center" vertical="center"/>
    </xf>
    <xf numFmtId="2" fontId="0" fillId="23" borderId="5" xfId="0" applyNumberFormat="1" applyFill="1" applyBorder="1" applyAlignment="1" applyProtection="1">
      <alignment horizontal="center" vertical="center"/>
    </xf>
    <xf numFmtId="2" fontId="0" fillId="0" borderId="0" xfId="0" applyNumberFormat="1" applyBorder="1" applyAlignment="1" applyProtection="1">
      <alignment horizontal="center" vertical="center"/>
    </xf>
    <xf numFmtId="2" fontId="0" fillId="0" borderId="10" xfId="0" applyNumberFormat="1" applyBorder="1" applyAlignment="1" applyProtection="1">
      <alignment horizontal="center" vertical="center"/>
    </xf>
    <xf numFmtId="2" fontId="0" fillId="0" borderId="10" xfId="0" applyNumberFormat="1" applyFill="1" applyBorder="1" applyAlignment="1" applyProtection="1">
      <alignment horizontal="center" vertical="center"/>
    </xf>
    <xf numFmtId="0" fontId="0" fillId="0" borderId="5" xfId="0" applyFill="1" applyBorder="1" applyAlignment="1" applyProtection="1">
      <alignment horizontal="right"/>
    </xf>
    <xf numFmtId="2" fontId="1" fillId="0" borderId="0" xfId="0" applyNumberFormat="1" applyFont="1" applyFill="1" applyBorder="1" applyAlignment="1" applyProtection="1">
      <alignment horizontal="center" vertical="center"/>
    </xf>
    <xf numFmtId="2" fontId="1" fillId="0" borderId="10" xfId="0" applyNumberFormat="1" applyFont="1" applyFill="1" applyBorder="1" applyAlignment="1" applyProtection="1">
      <alignment horizontal="center" vertical="center"/>
    </xf>
    <xf numFmtId="2" fontId="1" fillId="0" borderId="5" xfId="0" applyNumberFormat="1" applyFont="1" applyFill="1" applyBorder="1" applyAlignment="1" applyProtection="1">
      <alignment horizontal="center" vertical="center"/>
    </xf>
    <xf numFmtId="0" fontId="0" fillId="0" borderId="3" xfId="0" applyFill="1" applyBorder="1" applyAlignment="1" applyProtection="1">
      <alignment horizontal="right"/>
    </xf>
    <xf numFmtId="2" fontId="1" fillId="0" borderId="11" xfId="0" applyNumberFormat="1" applyFont="1" applyBorder="1" applyAlignment="1" applyProtection="1">
      <alignment horizontal="center" vertical="center"/>
    </xf>
    <xf numFmtId="2" fontId="1" fillId="0" borderId="12" xfId="0" applyNumberFormat="1" applyFont="1" applyBorder="1" applyAlignment="1" applyProtection="1">
      <alignment horizontal="center" vertical="center"/>
    </xf>
    <xf numFmtId="2" fontId="1" fillId="0" borderId="3" xfId="0" applyNumberFormat="1" applyFont="1" applyBorder="1" applyAlignment="1" applyProtection="1">
      <alignment horizontal="center" vertical="center"/>
    </xf>
    <xf numFmtId="0" fontId="0" fillId="0" borderId="2" xfId="0" applyBorder="1" applyAlignment="1" applyProtection="1">
      <alignment horizontal="center"/>
    </xf>
    <xf numFmtId="0" fontId="0" fillId="0" borderId="4" xfId="0" applyBorder="1" applyAlignment="1" applyProtection="1">
      <alignment horizontal="center"/>
    </xf>
    <xf numFmtId="0" fontId="0" fillId="0" borderId="5" xfId="0" quotePrefix="1" applyBorder="1" applyAlignment="1" applyProtection="1">
      <alignment horizontal="left"/>
    </xf>
    <xf numFmtId="0" fontId="0" fillId="0" borderId="6" xfId="0" applyBorder="1" applyAlignment="1" applyProtection="1">
      <alignment horizontal="center"/>
    </xf>
    <xf numFmtId="0" fontId="0" fillId="0" borderId="5" xfId="0" applyBorder="1" applyAlignment="1" applyProtection="1">
      <alignment horizontal="left"/>
    </xf>
    <xf numFmtId="0" fontId="21" fillId="0" borderId="0" xfId="0" applyFont="1" applyFill="1" applyProtection="1"/>
    <xf numFmtId="0" fontId="1" fillId="10" borderId="0" xfId="0" applyFont="1" applyFill="1" applyBorder="1" applyAlignment="1" applyProtection="1">
      <alignment horizontal="center" vertical="center"/>
    </xf>
    <xf numFmtId="0" fontId="0" fillId="0" borderId="1" xfId="0" applyFill="1" applyBorder="1" applyProtection="1"/>
    <xf numFmtId="0" fontId="0" fillId="0" borderId="8" xfId="0" applyFill="1" applyBorder="1" applyProtection="1"/>
    <xf numFmtId="0" fontId="0" fillId="0" borderId="9" xfId="0" applyFill="1" applyBorder="1" applyProtection="1"/>
    <xf numFmtId="0" fontId="1" fillId="0" borderId="5" xfId="0" applyFont="1" applyBorder="1" applyProtection="1"/>
    <xf numFmtId="2" fontId="0" fillId="16" borderId="0" xfId="0" applyNumberFormat="1" applyFill="1" applyBorder="1" applyAlignment="1" applyProtection="1">
      <alignment horizontal="center" vertical="center"/>
    </xf>
    <xf numFmtId="0" fontId="1" fillId="0" borderId="1" xfId="0" applyFont="1" applyBorder="1" applyAlignment="1" applyProtection="1">
      <alignment vertical="center"/>
    </xf>
    <xf numFmtId="0" fontId="1" fillId="0" borderId="8" xfId="0" applyFont="1" applyBorder="1" applyAlignment="1" applyProtection="1">
      <alignment vertical="center"/>
    </xf>
    <xf numFmtId="0" fontId="1" fillId="0" borderId="29" xfId="0" applyFont="1" applyBorder="1" applyAlignment="1" applyProtection="1">
      <alignment horizontal="center" vertical="center"/>
    </xf>
    <xf numFmtId="0" fontId="0" fillId="0" borderId="52" xfId="0" applyBorder="1" applyAlignment="1" applyProtection="1">
      <alignment horizontal="center" vertical="center"/>
    </xf>
    <xf numFmtId="0" fontId="1" fillId="0" borderId="1" xfId="0" applyFont="1" applyBorder="1" applyAlignment="1" applyProtection="1">
      <alignment horizontal="center" vertical="center"/>
    </xf>
    <xf numFmtId="0" fontId="1" fillId="0" borderId="9" xfId="0" applyFont="1" applyBorder="1" applyAlignment="1" applyProtection="1">
      <alignment horizontal="center" vertical="center"/>
    </xf>
    <xf numFmtId="0" fontId="0" fillId="6" borderId="0" xfId="0" applyFill="1" applyProtection="1"/>
    <xf numFmtId="0" fontId="1" fillId="0" borderId="42" xfId="0" applyFont="1" applyBorder="1" applyProtection="1"/>
    <xf numFmtId="0" fontId="0" fillId="0" borderId="24" xfId="0" applyBorder="1" applyAlignment="1" applyProtection="1">
      <alignment horizontal="center" vertical="center"/>
    </xf>
    <xf numFmtId="0" fontId="0" fillId="0" borderId="17" xfId="0" applyBorder="1" applyAlignment="1" applyProtection="1">
      <alignment horizontal="center" vertical="center"/>
    </xf>
    <xf numFmtId="0" fontId="0" fillId="0" borderId="24" xfId="0" applyBorder="1" applyProtection="1"/>
    <xf numFmtId="0" fontId="0" fillId="0" borderId="17" xfId="0" applyBorder="1" applyProtection="1"/>
    <xf numFmtId="0" fontId="0" fillId="0" borderId="19" xfId="0" applyBorder="1" applyProtection="1"/>
    <xf numFmtId="0" fontId="0" fillId="0" borderId="46" xfId="0" applyBorder="1" applyProtection="1"/>
    <xf numFmtId="0" fontId="0" fillId="0" borderId="25" xfId="0" applyBorder="1" applyProtection="1"/>
    <xf numFmtId="0" fontId="0" fillId="0" borderId="42" xfId="0" applyBorder="1" applyProtection="1"/>
    <xf numFmtId="2" fontId="0" fillId="23" borderId="24" xfId="0" applyNumberFormat="1" applyFill="1" applyBorder="1" applyAlignment="1" applyProtection="1">
      <alignment horizontal="center" vertical="center"/>
    </xf>
    <xf numFmtId="2" fontId="0" fillId="23" borderId="17" xfId="0" applyNumberFormat="1" applyFill="1" applyBorder="1" applyAlignment="1" applyProtection="1">
      <alignment horizontal="center" vertical="center"/>
    </xf>
    <xf numFmtId="0" fontId="0" fillId="23" borderId="24" xfId="0" applyFill="1" applyBorder="1" applyAlignment="1" applyProtection="1">
      <alignment horizontal="center" vertical="center"/>
    </xf>
    <xf numFmtId="0" fontId="0" fillId="23" borderId="17" xfId="0" applyFill="1" applyBorder="1" applyAlignment="1" applyProtection="1">
      <alignment horizontal="center" vertical="center"/>
    </xf>
    <xf numFmtId="2" fontId="0" fillId="23" borderId="25" xfId="0" applyNumberFormat="1" applyFill="1" applyBorder="1" applyAlignment="1" applyProtection="1">
      <alignment horizontal="center" vertical="center"/>
    </xf>
    <xf numFmtId="0" fontId="0" fillId="0" borderId="23" xfId="0" applyBorder="1" applyProtection="1"/>
    <xf numFmtId="164" fontId="0" fillId="23" borderId="24" xfId="0" applyNumberFormat="1" applyFill="1" applyBorder="1" applyAlignment="1" applyProtection="1">
      <alignment horizontal="center" vertical="center"/>
    </xf>
    <xf numFmtId="164" fontId="0" fillId="23" borderId="17" xfId="0" applyNumberFormat="1" applyFill="1" applyBorder="1" applyAlignment="1" applyProtection="1">
      <alignment horizontal="center" vertical="center"/>
    </xf>
    <xf numFmtId="2" fontId="0" fillId="0" borderId="5" xfId="0" applyNumberFormat="1" applyFill="1" applyBorder="1" applyAlignment="1" applyProtection="1">
      <alignment horizontal="center" vertical="center"/>
    </xf>
    <xf numFmtId="0" fontId="0" fillId="0" borderId="51" xfId="0" applyBorder="1" applyProtection="1"/>
    <xf numFmtId="0" fontId="0" fillId="0" borderId="47" xfId="0" applyBorder="1" applyProtection="1"/>
    <xf numFmtId="0" fontId="0" fillId="0" borderId="0" xfId="0" quotePrefix="1" applyFill="1" applyBorder="1" applyAlignment="1" applyProtection="1">
      <alignment vertical="center"/>
    </xf>
    <xf numFmtId="0" fontId="0" fillId="0" borderId="0" xfId="0" quotePrefix="1" applyFill="1" applyBorder="1" applyAlignment="1" applyProtection="1"/>
    <xf numFmtId="0" fontId="0" fillId="10" borderId="0" xfId="0" applyFill="1" applyAlignment="1" applyProtection="1">
      <alignment horizontal="center" vertical="center"/>
    </xf>
    <xf numFmtId="9" fontId="0" fillId="10" borderId="0" xfId="0" applyNumberFormat="1" applyFill="1" applyAlignment="1" applyProtection="1">
      <alignment horizontal="center" vertical="center"/>
    </xf>
    <xf numFmtId="2" fontId="0" fillId="23" borderId="26" xfId="0" applyNumberFormat="1" applyFill="1" applyBorder="1" applyAlignment="1" applyProtection="1">
      <alignment horizontal="center" vertical="center"/>
    </xf>
    <xf numFmtId="2" fontId="0" fillId="23" borderId="30" xfId="0" applyNumberFormat="1" applyFill="1" applyBorder="1" applyAlignment="1" applyProtection="1">
      <alignment horizontal="center" vertical="center"/>
    </xf>
    <xf numFmtId="0" fontId="1" fillId="0" borderId="0" xfId="0" applyFont="1" applyFill="1" applyProtection="1"/>
    <xf numFmtId="1" fontId="0" fillId="0" borderId="0" xfId="0" applyNumberFormat="1" applyFill="1" applyBorder="1" applyAlignment="1" applyProtection="1">
      <alignment horizontal="center" vertical="center"/>
    </xf>
    <xf numFmtId="0" fontId="1" fillId="18" borderId="0" xfId="0" applyFont="1" applyFill="1" applyProtection="1"/>
    <xf numFmtId="0" fontId="0" fillId="18" borderId="0" xfId="0" applyFill="1" applyProtection="1"/>
    <xf numFmtId="0" fontId="1" fillId="0" borderId="16" xfId="0" applyFont="1" applyBorder="1" applyProtection="1"/>
    <xf numFmtId="0" fontId="1" fillId="2" borderId="16" xfId="0" applyFont="1" applyFill="1" applyBorder="1" applyProtection="1"/>
    <xf numFmtId="0" fontId="0" fillId="0" borderId="16" xfId="0" applyBorder="1" applyAlignment="1" applyProtection="1">
      <alignment horizontal="center" vertical="center"/>
    </xf>
    <xf numFmtId="2" fontId="0" fillId="0" borderId="16" xfId="0" applyNumberFormat="1" applyFill="1" applyBorder="1" applyAlignment="1" applyProtection="1">
      <alignment horizontal="center" vertical="center"/>
    </xf>
    <xf numFmtId="2" fontId="0" fillId="0" borderId="16" xfId="0" applyNumberFormat="1" applyBorder="1" applyAlignment="1" applyProtection="1">
      <alignment horizontal="center" vertical="center"/>
    </xf>
    <xf numFmtId="2" fontId="0" fillId="23" borderId="16" xfId="0" applyNumberFormat="1" applyFill="1" applyBorder="1" applyAlignment="1" applyProtection="1">
      <alignment horizontal="center" vertical="center"/>
    </xf>
    <xf numFmtId="0" fontId="0" fillId="0" borderId="16" xfId="0" applyFont="1" applyBorder="1" applyProtection="1"/>
    <xf numFmtId="0" fontId="0" fillId="2" borderId="16" xfId="0" applyFill="1" applyBorder="1" applyProtection="1"/>
    <xf numFmtId="0" fontId="4" fillId="0" borderId="0" xfId="0" applyFont="1" applyFill="1" applyProtection="1"/>
    <xf numFmtId="0" fontId="0" fillId="0" borderId="16" xfId="0" applyFill="1" applyBorder="1" applyAlignment="1" applyProtection="1">
      <alignment horizontal="center" vertical="center"/>
    </xf>
    <xf numFmtId="0" fontId="0" fillId="0" borderId="16" xfId="0" applyNumberFormat="1" applyBorder="1" applyAlignment="1" applyProtection="1">
      <alignment horizontal="center" vertical="center"/>
    </xf>
    <xf numFmtId="2" fontId="0" fillId="2" borderId="16" xfId="0" applyNumberFormat="1" applyFill="1" applyBorder="1" applyAlignment="1" applyProtection="1">
      <alignment horizontal="center"/>
    </xf>
    <xf numFmtId="2" fontId="0" fillId="2" borderId="16" xfId="0" applyNumberFormat="1" applyFill="1" applyBorder="1" applyAlignment="1" applyProtection="1">
      <alignment horizontal="center" vertical="center"/>
    </xf>
    <xf numFmtId="2" fontId="0" fillId="25" borderId="16" xfId="0" applyNumberFormat="1" applyFill="1" applyBorder="1" applyAlignment="1" applyProtection="1">
      <alignment horizontal="center" vertical="center"/>
    </xf>
    <xf numFmtId="0" fontId="3" fillId="0" borderId="0" xfId="0" quotePrefix="1" applyFont="1" applyAlignment="1" applyProtection="1">
      <alignment horizontal="left"/>
    </xf>
    <xf numFmtId="0" fontId="0" fillId="0" borderId="2" xfId="0" applyBorder="1" applyProtection="1"/>
    <xf numFmtId="0" fontId="1" fillId="10" borderId="9" xfId="0" applyFont="1" applyFill="1" applyBorder="1" applyAlignment="1" applyProtection="1">
      <alignment horizontal="center" vertical="center"/>
    </xf>
    <xf numFmtId="0" fontId="0" fillId="8" borderId="48" xfId="0" applyFill="1" applyBorder="1" applyAlignment="1" applyProtection="1"/>
    <xf numFmtId="0" fontId="0" fillId="8" borderId="49" xfId="0" applyFill="1" applyBorder="1" applyAlignment="1" applyProtection="1"/>
    <xf numFmtId="0" fontId="0" fillId="8" borderId="50" xfId="0" applyFill="1" applyBorder="1" applyAlignment="1" applyProtection="1"/>
    <xf numFmtId="0" fontId="1" fillId="10" borderId="10" xfId="0" applyFont="1" applyFill="1" applyBorder="1" applyAlignment="1" applyProtection="1">
      <alignment horizontal="center" vertical="center"/>
    </xf>
    <xf numFmtId="0" fontId="1" fillId="10" borderId="46" xfId="0" applyFont="1" applyFill="1" applyBorder="1" applyAlignment="1" applyProtection="1">
      <alignment horizontal="center" vertical="center"/>
    </xf>
    <xf numFmtId="0" fontId="4" fillId="0" borderId="1" xfId="0" quotePrefix="1" applyFont="1" applyBorder="1" applyAlignment="1" applyProtection="1">
      <alignment horizontal="left"/>
    </xf>
    <xf numFmtId="2" fontId="0" fillId="0" borderId="2" xfId="0" applyNumberFormat="1" applyBorder="1" applyAlignment="1" applyProtection="1">
      <alignment horizontal="center"/>
    </xf>
    <xf numFmtId="2" fontId="0" fillId="0" borderId="6" xfId="0" applyNumberFormat="1" applyBorder="1" applyAlignment="1" applyProtection="1">
      <alignment horizontal="center"/>
    </xf>
    <xf numFmtId="2" fontId="0" fillId="0" borderId="4" xfId="0" applyNumberFormat="1" applyBorder="1" applyAlignment="1" applyProtection="1">
      <alignment horizontal="center"/>
    </xf>
    <xf numFmtId="0" fontId="0" fillId="8" borderId="29" xfId="0" applyFill="1" applyBorder="1" applyProtection="1"/>
    <xf numFmtId="0" fontId="0" fillId="8" borderId="43" xfId="0" applyFill="1" applyBorder="1" applyProtection="1"/>
    <xf numFmtId="0" fontId="1" fillId="10" borderId="54" xfId="0" applyFont="1" applyFill="1" applyBorder="1" applyAlignment="1" applyProtection="1">
      <alignment horizontal="center" vertical="center"/>
    </xf>
    <xf numFmtId="0" fontId="0" fillId="8" borderId="26" xfId="0" applyFill="1" applyBorder="1" applyProtection="1"/>
    <xf numFmtId="0" fontId="0" fillId="8" borderId="27" xfId="0" applyFill="1" applyBorder="1" applyProtection="1"/>
    <xf numFmtId="0" fontId="1" fillId="10" borderId="28" xfId="0" applyFont="1" applyFill="1" applyBorder="1" applyAlignment="1" applyProtection="1">
      <alignment horizontal="center" vertical="center"/>
    </xf>
    <xf numFmtId="1" fontId="0" fillId="0" borderId="0" xfId="0" applyNumberFormat="1" applyProtection="1"/>
    <xf numFmtId="0" fontId="0" fillId="0" borderId="0" xfId="0" applyFont="1" applyProtection="1"/>
    <xf numFmtId="0" fontId="11" fillId="0" borderId="0" xfId="0" applyFont="1" applyProtection="1"/>
    <xf numFmtId="0" fontId="3" fillId="0" borderId="0" xfId="0" quotePrefix="1" applyFont="1" applyBorder="1" applyAlignment="1" applyProtection="1">
      <alignment horizontal="left"/>
    </xf>
    <xf numFmtId="0" fontId="3" fillId="0" borderId="5" xfId="0" applyFont="1" applyFill="1" applyBorder="1" applyProtection="1"/>
    <xf numFmtId="0" fontId="0" fillId="0" borderId="0" xfId="0" quotePrefix="1" applyBorder="1" applyAlignment="1" applyProtection="1">
      <alignment horizontal="left"/>
    </xf>
    <xf numFmtId="0" fontId="0" fillId="5" borderId="0" xfId="0" applyFont="1" applyFill="1" applyProtection="1"/>
    <xf numFmtId="0" fontId="0" fillId="0" borderId="0" xfId="0" applyFill="1" applyBorder="1" applyAlignment="1" applyProtection="1">
      <alignment horizontal="left" vertical="center"/>
    </xf>
    <xf numFmtId="0" fontId="0" fillId="8" borderId="0" xfId="0" applyFill="1" applyBorder="1" applyAlignment="1" applyProtection="1"/>
    <xf numFmtId="0" fontId="0" fillId="8" borderId="10" xfId="0" applyFill="1" applyBorder="1" applyAlignment="1" applyProtection="1">
      <alignment horizontal="center" vertical="center"/>
    </xf>
    <xf numFmtId="0" fontId="0" fillId="8" borderId="16" xfId="0" applyFill="1" applyBorder="1" applyAlignment="1" applyProtection="1"/>
    <xf numFmtId="0" fontId="0" fillId="8" borderId="16" xfId="0" quotePrefix="1" applyFill="1" applyBorder="1" applyAlignment="1" applyProtection="1">
      <alignment vertical="center"/>
    </xf>
    <xf numFmtId="0" fontId="0" fillId="0" borderId="0" xfId="0" applyFont="1" applyFill="1" applyProtection="1"/>
    <xf numFmtId="16" fontId="0" fillId="0" borderId="0" xfId="0" quotePrefix="1" applyNumberFormat="1" applyFill="1" applyProtection="1"/>
    <xf numFmtId="0" fontId="0" fillId="0" borderId="0" xfId="0" applyAlignment="1" applyProtection="1">
      <alignment horizontal="left" vertical="center"/>
    </xf>
    <xf numFmtId="0" fontId="0" fillId="0" borderId="0" xfId="0" applyAlignment="1" applyProtection="1">
      <alignment horizontal="left" vertical="top"/>
    </xf>
    <xf numFmtId="9" fontId="0" fillId="0" borderId="0" xfId="0" applyNumberFormat="1" applyProtection="1"/>
    <xf numFmtId="0" fontId="14" fillId="0" borderId="0" xfId="0" applyFont="1" applyProtection="1"/>
    <xf numFmtId="0" fontId="18" fillId="0" borderId="0" xfId="0" applyFont="1" applyProtection="1"/>
    <xf numFmtId="0" fontId="12" fillId="0" borderId="0" xfId="0" applyFont="1" applyProtection="1"/>
    <xf numFmtId="0" fontId="16" fillId="0" borderId="0" xfId="0" applyFont="1" applyProtection="1"/>
    <xf numFmtId="0" fontId="15" fillId="0" borderId="41" xfId="0" applyFont="1" applyFill="1" applyBorder="1" applyAlignment="1" applyProtection="1">
      <alignment horizontal="left" vertical="center"/>
    </xf>
    <xf numFmtId="0" fontId="15" fillId="0" borderId="0" xfId="0" applyFont="1" applyAlignment="1" applyProtection="1">
      <alignment horizontal="center" vertical="center"/>
    </xf>
    <xf numFmtId="0" fontId="0" fillId="21" borderId="16" xfId="0" applyFill="1" applyBorder="1" applyAlignment="1" applyProtection="1">
      <alignment horizontal="center" vertical="center"/>
    </xf>
    <xf numFmtId="0" fontId="0" fillId="31" borderId="0" xfId="0" applyFill="1" applyAlignment="1" applyProtection="1">
      <alignment horizontal="center" vertical="center"/>
      <protection hidden="1"/>
    </xf>
    <xf numFmtId="0" fontId="0" fillId="28" borderId="0" xfId="0" applyFill="1" applyAlignment="1" applyProtection="1">
      <alignment horizontal="center"/>
      <protection hidden="1"/>
    </xf>
    <xf numFmtId="0" fontId="1" fillId="28" borderId="0" xfId="0" applyFont="1" applyFill="1" applyAlignment="1" applyProtection="1">
      <alignment horizontal="left" vertical="center" wrapText="1"/>
      <protection hidden="1"/>
    </xf>
    <xf numFmtId="2" fontId="0" fillId="9" borderId="3" xfId="0" applyNumberFormat="1" applyFill="1" applyBorder="1" applyAlignment="1" applyProtection="1">
      <alignment horizontal="center"/>
    </xf>
    <xf numFmtId="0" fontId="0" fillId="28" borderId="0" xfId="0" applyFill="1" applyAlignment="1" applyProtection="1">
      <alignment horizontal="center" vertical="top"/>
      <protection hidden="1"/>
    </xf>
    <xf numFmtId="0" fontId="0" fillId="28" borderId="0" xfId="0" applyFill="1" applyAlignment="1" applyProtection="1">
      <alignment horizontal="right" vertical="top"/>
      <protection hidden="1"/>
    </xf>
    <xf numFmtId="0" fontId="0" fillId="28" borderId="0" xfId="0" applyFill="1" applyBorder="1" applyAlignment="1" applyProtection="1">
      <alignment horizontal="right" vertical="top"/>
      <protection hidden="1"/>
    </xf>
    <xf numFmtId="0" fontId="20" fillId="8" borderId="0" xfId="0" applyFont="1" applyFill="1" applyAlignment="1" applyProtection="1">
      <alignment vertical="center"/>
      <protection hidden="1"/>
    </xf>
    <xf numFmtId="0" fontId="0" fillId="6" borderId="0" xfId="0" applyFill="1" applyAlignment="1" applyProtection="1">
      <alignment horizontal="center" vertical="center"/>
      <protection hidden="1"/>
    </xf>
    <xf numFmtId="0" fontId="1" fillId="6" borderId="0" xfId="0" applyFont="1" applyFill="1" applyAlignment="1" applyProtection="1">
      <alignment horizontal="center" vertical="center"/>
      <protection hidden="1"/>
    </xf>
    <xf numFmtId="0" fontId="1" fillId="6" borderId="0" xfId="0" applyFont="1" applyFill="1" applyAlignment="1" applyProtection="1">
      <alignment horizontal="center" vertical="center" wrapText="1"/>
      <protection hidden="1"/>
    </xf>
    <xf numFmtId="1" fontId="4" fillId="18" borderId="29" xfId="0" applyNumberFormat="1" applyFont="1" applyFill="1" applyBorder="1" applyAlignment="1" applyProtection="1">
      <alignment horizontal="center"/>
    </xf>
    <xf numFmtId="1" fontId="4" fillId="16" borderId="24" xfId="0" applyNumberFormat="1" applyFont="1" applyFill="1" applyBorder="1" applyAlignment="1" applyProtection="1">
      <alignment horizontal="center"/>
    </xf>
    <xf numFmtId="164" fontId="4" fillId="20" borderId="33" xfId="0" applyNumberFormat="1" applyFont="1" applyFill="1" applyBorder="1" applyAlignment="1" applyProtection="1">
      <alignment horizontal="center" vertical="center"/>
    </xf>
    <xf numFmtId="164" fontId="4" fillId="20" borderId="32" xfId="0" applyNumberFormat="1" applyFont="1" applyFill="1" applyBorder="1" applyAlignment="1">
      <alignment horizontal="center" vertical="center"/>
    </xf>
    <xf numFmtId="0" fontId="0" fillId="20" borderId="21" xfId="0" applyFill="1" applyBorder="1" applyAlignment="1" applyProtection="1">
      <alignment horizontal="center" vertical="center"/>
      <protection locked="0" hidden="1"/>
    </xf>
    <xf numFmtId="164" fontId="0" fillId="0" borderId="0" xfId="0" applyNumberFormat="1" applyFill="1" applyProtection="1"/>
    <xf numFmtId="0" fontId="0" fillId="10" borderId="0" xfId="0" applyFill="1" applyAlignment="1" applyProtection="1">
      <alignment horizontal="left" vertical="center"/>
      <protection hidden="1"/>
    </xf>
    <xf numFmtId="0" fontId="0" fillId="10" borderId="0" xfId="0" applyFill="1" applyAlignment="1" applyProtection="1">
      <alignment horizontal="left"/>
      <protection hidden="1"/>
    </xf>
    <xf numFmtId="0" fontId="0" fillId="0" borderId="0" xfId="0" applyAlignment="1" applyProtection="1">
      <alignment horizontal="left"/>
      <protection hidden="1"/>
    </xf>
    <xf numFmtId="0" fontId="1" fillId="28" borderId="0" xfId="0" applyFont="1" applyFill="1" applyBorder="1" applyProtection="1">
      <protection hidden="1"/>
    </xf>
    <xf numFmtId="0" fontId="0" fillId="25" borderId="0" xfId="0" applyFill="1" applyBorder="1" applyAlignment="1" applyProtection="1">
      <alignment horizontal="center"/>
      <protection hidden="1"/>
    </xf>
    <xf numFmtId="0" fontId="0" fillId="25" borderId="61" xfId="0" applyFill="1" applyBorder="1" applyProtection="1">
      <protection hidden="1"/>
    </xf>
    <xf numFmtId="0" fontId="0" fillId="25" borderId="62" xfId="0" applyFill="1" applyBorder="1" applyProtection="1">
      <protection hidden="1"/>
    </xf>
    <xf numFmtId="0" fontId="0" fillId="25" borderId="63" xfId="0" applyFill="1" applyBorder="1" applyProtection="1">
      <protection hidden="1"/>
    </xf>
    <xf numFmtId="0" fontId="0" fillId="25" borderId="64" xfId="0" applyFill="1" applyBorder="1" applyProtection="1">
      <protection hidden="1"/>
    </xf>
    <xf numFmtId="0" fontId="0" fillId="25" borderId="65" xfId="0" applyFill="1" applyBorder="1" applyProtection="1">
      <protection hidden="1"/>
    </xf>
    <xf numFmtId="2" fontId="0" fillId="25" borderId="65" xfId="0" applyNumberFormat="1" applyFill="1" applyBorder="1" applyProtection="1">
      <protection hidden="1"/>
    </xf>
    <xf numFmtId="0" fontId="0" fillId="28" borderId="0" xfId="0" applyFill="1" applyBorder="1" applyAlignment="1" applyProtection="1">
      <alignment horizontal="left"/>
      <protection hidden="1"/>
    </xf>
    <xf numFmtId="0" fontId="0" fillId="0" borderId="0" xfId="0" applyFill="1" applyBorder="1" applyAlignment="1">
      <alignment vertical="center"/>
    </xf>
    <xf numFmtId="0" fontId="0" fillId="18" borderId="0" xfId="0" applyFill="1" applyProtection="1">
      <protection hidden="1"/>
    </xf>
    <xf numFmtId="0" fontId="3" fillId="7" borderId="0" xfId="0" applyFont="1" applyFill="1" applyProtection="1">
      <protection locked="0"/>
    </xf>
    <xf numFmtId="0" fontId="0" fillId="7" borderId="0" xfId="0" applyFill="1" applyProtection="1">
      <protection locked="0" hidden="1"/>
    </xf>
    <xf numFmtId="0" fontId="0" fillId="7" borderId="0" xfId="0" applyFill="1" applyProtection="1">
      <protection locked="0"/>
    </xf>
    <xf numFmtId="0" fontId="0" fillId="0" borderId="0" xfId="0" applyAlignment="1">
      <alignment horizontal="center" vertical="center"/>
    </xf>
    <xf numFmtId="0" fontId="24" fillId="28" borderId="0" xfId="0" applyFont="1" applyFill="1" applyBorder="1" applyAlignment="1" applyProtection="1">
      <alignment horizontal="center"/>
      <protection hidden="1"/>
    </xf>
    <xf numFmtId="1" fontId="4" fillId="15" borderId="0" xfId="0" applyNumberFormat="1" applyFont="1" applyFill="1" applyBorder="1" applyAlignment="1" applyProtection="1">
      <alignment horizontal="center" vertical="center"/>
    </xf>
    <xf numFmtId="0" fontId="28" fillId="15" borderId="0" xfId="0" applyFont="1" applyFill="1" applyBorder="1" applyProtection="1"/>
    <xf numFmtId="0" fontId="28" fillId="15" borderId="11" xfId="0" applyFont="1" applyFill="1" applyBorder="1" applyProtection="1"/>
    <xf numFmtId="0" fontId="0" fillId="10" borderId="0" xfId="0" applyFill="1"/>
    <xf numFmtId="0" fontId="26" fillId="10" borderId="0" xfId="0" applyFont="1" applyFill="1" applyAlignment="1">
      <alignment horizontal="left" vertical="center" readingOrder="1"/>
    </xf>
    <xf numFmtId="0" fontId="0" fillId="10" borderId="0" xfId="0" applyFill="1" applyAlignment="1">
      <alignment wrapText="1"/>
    </xf>
    <xf numFmtId="1" fontId="4" fillId="30" borderId="24" xfId="0" applyNumberFormat="1" applyFont="1" applyFill="1" applyBorder="1" applyAlignment="1" applyProtection="1">
      <alignment horizontal="center"/>
    </xf>
    <xf numFmtId="1" fontId="0" fillId="7" borderId="29" xfId="0" applyNumberFormat="1" applyFill="1" applyBorder="1" applyAlignment="1" applyProtection="1">
      <alignment horizontal="center" vertical="center"/>
      <protection locked="0"/>
    </xf>
    <xf numFmtId="0" fontId="0" fillId="10" borderId="0" xfId="0" applyFill="1" applyBorder="1"/>
    <xf numFmtId="0" fontId="4" fillId="15" borderId="43" xfId="0" applyFont="1" applyFill="1" applyBorder="1" applyProtection="1"/>
    <xf numFmtId="165" fontId="0" fillId="32" borderId="16" xfId="0" applyNumberFormat="1" applyFill="1" applyBorder="1" applyAlignment="1" applyProtection="1">
      <alignment horizontal="center" vertical="center"/>
    </xf>
    <xf numFmtId="0" fontId="0" fillId="32" borderId="16" xfId="0" applyFill="1" applyBorder="1" applyAlignment="1" applyProtection="1">
      <alignment horizontal="left" vertical="center"/>
    </xf>
    <xf numFmtId="0" fontId="0" fillId="14" borderId="43" xfId="0" applyFill="1" applyBorder="1" applyAlignment="1" applyProtection="1">
      <alignment horizontal="center" vertical="center"/>
      <protection locked="0"/>
    </xf>
    <xf numFmtId="0" fontId="0" fillId="14" borderId="16" xfId="0" applyFill="1" applyBorder="1" applyAlignment="1" applyProtection="1">
      <alignment horizontal="center" vertical="center"/>
      <protection locked="0"/>
    </xf>
    <xf numFmtId="2" fontId="0" fillId="7" borderId="16" xfId="0" applyNumberFormat="1" applyFill="1" applyBorder="1" applyAlignment="1" applyProtection="1">
      <alignment horizontal="center" vertical="center"/>
      <protection locked="0"/>
    </xf>
    <xf numFmtId="2" fontId="0" fillId="7" borderId="0" xfId="0" applyNumberFormat="1" applyFill="1" applyAlignment="1" applyProtection="1">
      <alignment horizontal="center" vertical="center"/>
      <protection locked="0"/>
    </xf>
    <xf numFmtId="0" fontId="0" fillId="7" borderId="16" xfId="0" applyFill="1" applyBorder="1" applyAlignment="1" applyProtection="1">
      <alignment horizontal="center" vertical="center"/>
      <protection locked="0"/>
    </xf>
    <xf numFmtId="0" fontId="0" fillId="7" borderId="19" xfId="0" applyFill="1" applyBorder="1" applyAlignment="1" applyProtection="1">
      <alignment vertical="top" wrapText="1"/>
      <protection locked="0"/>
    </xf>
    <xf numFmtId="0" fontId="0" fillId="7" borderId="18" xfId="0" applyFill="1" applyBorder="1" applyAlignment="1" applyProtection="1">
      <alignment vertical="top" wrapText="1"/>
      <protection locked="0"/>
    </xf>
    <xf numFmtId="0" fontId="0" fillId="7" borderId="16" xfId="0" quotePrefix="1" applyFill="1" applyBorder="1" applyAlignment="1" applyProtection="1">
      <alignment horizontal="center" vertical="center"/>
      <protection locked="0"/>
    </xf>
    <xf numFmtId="0" fontId="0" fillId="7" borderId="19" xfId="0" quotePrefix="1" applyFill="1" applyBorder="1" applyAlignment="1" applyProtection="1">
      <protection locked="0"/>
    </xf>
    <xf numFmtId="0" fontId="0" fillId="7" borderId="18" xfId="0" quotePrefix="1" applyFill="1" applyBorder="1" applyAlignment="1" applyProtection="1">
      <protection locked="0"/>
    </xf>
    <xf numFmtId="0" fontId="0" fillId="7" borderId="19" xfId="0" applyFill="1" applyBorder="1" applyAlignment="1" applyProtection="1">
      <protection locked="0"/>
    </xf>
    <xf numFmtId="0" fontId="0" fillId="7" borderId="18" xfId="0" applyFill="1" applyBorder="1" applyAlignment="1" applyProtection="1">
      <protection locked="0"/>
    </xf>
    <xf numFmtId="0" fontId="0" fillId="7" borderId="24" xfId="0" quotePrefix="1" applyFill="1" applyBorder="1" applyAlignment="1" applyProtection="1">
      <alignment horizontal="center" vertical="center"/>
      <protection locked="0"/>
    </xf>
    <xf numFmtId="0" fontId="0" fillId="7" borderId="25" xfId="0" quotePrefix="1" applyFill="1" applyBorder="1" applyAlignment="1" applyProtection="1">
      <alignment horizontal="center" vertical="center"/>
      <protection locked="0"/>
    </xf>
    <xf numFmtId="0" fontId="0" fillId="7" borderId="25" xfId="0" applyFill="1" applyBorder="1" applyAlignment="1" applyProtection="1">
      <alignment horizontal="center" vertical="center"/>
      <protection locked="0"/>
    </xf>
    <xf numFmtId="0" fontId="0" fillId="7" borderId="26" xfId="0" quotePrefix="1" applyFill="1" applyBorder="1" applyAlignment="1" applyProtection="1">
      <alignment horizontal="center" vertical="center"/>
      <protection locked="0"/>
    </xf>
    <xf numFmtId="0" fontId="0" fillId="7" borderId="27" xfId="0" quotePrefix="1" applyFill="1" applyBorder="1" applyAlignment="1" applyProtection="1">
      <alignment horizontal="center" vertical="center"/>
      <protection locked="0"/>
    </xf>
    <xf numFmtId="0" fontId="0" fillId="7" borderId="28" xfId="0" quotePrefix="1" applyFill="1" applyBorder="1" applyAlignment="1" applyProtection="1">
      <alignment horizontal="center" vertical="center"/>
      <protection locked="0"/>
    </xf>
    <xf numFmtId="0" fontId="0" fillId="7" borderId="43" xfId="0" quotePrefix="1" applyFill="1" applyBorder="1" applyAlignment="1" applyProtection="1">
      <alignment horizontal="center" vertical="center"/>
      <protection locked="0"/>
    </xf>
    <xf numFmtId="0" fontId="0" fillId="7" borderId="27" xfId="0" applyFill="1" applyBorder="1" applyAlignment="1" applyProtection="1">
      <alignment horizontal="center" vertical="center"/>
      <protection locked="0"/>
    </xf>
    <xf numFmtId="164" fontId="0" fillId="14" borderId="25" xfId="0" quotePrefix="1" applyNumberFormat="1" applyFill="1" applyBorder="1" applyAlignment="1" applyProtection="1">
      <alignment horizontal="center" vertical="center"/>
      <protection locked="0"/>
    </xf>
    <xf numFmtId="0" fontId="0" fillId="14" borderId="25" xfId="0" applyFill="1" applyBorder="1" applyAlignment="1" applyProtection="1">
      <alignment horizontal="center" vertical="center"/>
      <protection locked="0"/>
    </xf>
    <xf numFmtId="1" fontId="28" fillId="15" borderId="51" xfId="0" applyNumberFormat="1" applyFont="1" applyFill="1" applyBorder="1" applyAlignment="1" applyProtection="1">
      <alignment horizontal="center" vertical="center"/>
    </xf>
    <xf numFmtId="0" fontId="0" fillId="0" borderId="0" xfId="0" applyAlignment="1">
      <alignment horizontal="center" vertical="center"/>
    </xf>
    <xf numFmtId="1" fontId="3" fillId="0" borderId="0" xfId="0" applyNumberFormat="1" applyFont="1" applyAlignment="1">
      <alignment horizontal="center" vertical="center"/>
    </xf>
    <xf numFmtId="0" fontId="0" fillId="7" borderId="17" xfId="0" applyNumberFormat="1" applyFill="1" applyBorder="1" applyAlignment="1" applyProtection="1">
      <alignment horizontal="center" vertical="center"/>
      <protection locked="0"/>
    </xf>
    <xf numFmtId="2" fontId="0" fillId="17" borderId="16" xfId="0" applyNumberFormat="1" applyFill="1" applyBorder="1" applyAlignment="1" applyProtection="1">
      <alignment horizontal="center" vertical="center"/>
      <protection hidden="1"/>
    </xf>
    <xf numFmtId="0" fontId="0" fillId="28" borderId="0" xfId="0" applyFill="1" applyAlignment="1" applyProtection="1">
      <alignment vertical="center" wrapText="1"/>
      <protection hidden="1"/>
    </xf>
    <xf numFmtId="164" fontId="0" fillId="20" borderId="16" xfId="0" applyNumberFormat="1" applyFill="1" applyBorder="1" applyAlignment="1" applyProtection="1">
      <alignment horizontal="center" vertical="center"/>
      <protection locked="0" hidden="1"/>
    </xf>
    <xf numFmtId="0" fontId="1" fillId="28" borderId="0" xfId="0" applyFont="1" applyFill="1" applyAlignment="1" applyProtection="1">
      <alignment horizontal="left" vertical="center"/>
      <protection hidden="1"/>
    </xf>
    <xf numFmtId="164" fontId="0" fillId="28" borderId="0" xfId="0" applyNumberFormat="1" applyFill="1" applyBorder="1" applyAlignment="1" applyProtection="1">
      <alignment vertical="top" wrapText="1"/>
      <protection hidden="1"/>
    </xf>
    <xf numFmtId="0" fontId="0" fillId="28" borderId="0" xfId="0" quotePrefix="1" applyFill="1" applyBorder="1" applyProtection="1">
      <protection hidden="1"/>
    </xf>
    <xf numFmtId="0" fontId="0" fillId="28" borderId="23" xfId="0" applyFill="1" applyBorder="1" applyProtection="1">
      <protection hidden="1"/>
    </xf>
    <xf numFmtId="0" fontId="1" fillId="28" borderId="0" xfId="0" applyFont="1" applyFill="1" applyBorder="1" applyAlignment="1" applyProtection="1">
      <alignment horizontal="left"/>
      <protection hidden="1"/>
    </xf>
    <xf numFmtId="165" fontId="0" fillId="0" borderId="0" xfId="0" applyNumberFormat="1" applyFill="1" applyBorder="1" applyAlignment="1" applyProtection="1">
      <alignment horizontal="center" vertical="center"/>
    </xf>
    <xf numFmtId="0" fontId="0" fillId="28" borderId="0" xfId="0" applyFill="1" applyBorder="1" applyAlignment="1" applyProtection="1">
      <alignment vertical="center"/>
      <protection hidden="1"/>
    </xf>
    <xf numFmtId="0" fontId="0" fillId="14" borderId="16" xfId="0" applyFill="1" applyBorder="1" applyAlignment="1" applyProtection="1">
      <alignment horizontal="center" vertical="center"/>
    </xf>
    <xf numFmtId="0" fontId="0" fillId="16" borderId="0" xfId="0" applyFill="1" applyAlignment="1" applyProtection="1">
      <alignment horizontal="center" vertical="center"/>
      <protection hidden="1"/>
    </xf>
    <xf numFmtId="0" fontId="0" fillId="8" borderId="9" xfId="0" applyFill="1" applyBorder="1" applyProtection="1">
      <protection hidden="1"/>
    </xf>
    <xf numFmtId="0" fontId="19" fillId="8" borderId="12" xfId="0" applyFont="1" applyFill="1" applyBorder="1" applyAlignment="1" applyProtection="1">
      <alignment horizontal="center" vertical="center"/>
      <protection hidden="1"/>
    </xf>
    <xf numFmtId="0" fontId="0" fillId="27" borderId="0" xfId="0" applyFill="1" applyAlignment="1" applyProtection="1">
      <alignment horizontal="center" vertical="center"/>
      <protection hidden="1"/>
    </xf>
    <xf numFmtId="0" fontId="3" fillId="18" borderId="16" xfId="0" applyFont="1" applyFill="1" applyBorder="1"/>
    <xf numFmtId="0" fontId="0" fillId="18" borderId="56" xfId="0" applyFill="1" applyBorder="1" applyAlignment="1">
      <alignment horizontal="center" vertical="center"/>
    </xf>
    <xf numFmtId="0" fontId="0" fillId="18" borderId="41" xfId="0" applyFill="1" applyBorder="1" applyAlignment="1">
      <alignment horizontal="center" vertical="center"/>
    </xf>
    <xf numFmtId="0" fontId="0" fillId="18" borderId="0" xfId="0" applyFill="1" applyBorder="1" applyAlignment="1" applyProtection="1">
      <alignment horizontal="center" vertical="center"/>
    </xf>
    <xf numFmtId="0" fontId="0" fillId="18" borderId="0" xfId="0" applyFill="1" applyBorder="1" applyProtection="1"/>
    <xf numFmtId="0" fontId="0" fillId="0" borderId="0" xfId="0" applyAlignment="1">
      <alignment horizontal="center" vertical="center"/>
    </xf>
    <xf numFmtId="0" fontId="0" fillId="0" borderId="0" xfId="0" applyAlignment="1">
      <alignment horizontal="center" vertical="center"/>
    </xf>
    <xf numFmtId="0" fontId="21" fillId="0" borderId="0" xfId="0" applyFont="1"/>
    <xf numFmtId="0" fontId="11" fillId="0" borderId="1" xfId="0" applyFont="1" applyBorder="1"/>
    <xf numFmtId="0" fontId="11" fillId="0" borderId="8" xfId="0" applyFont="1" applyBorder="1"/>
    <xf numFmtId="0" fontId="0" fillId="0" borderId="16" xfId="0" applyFont="1" applyBorder="1"/>
    <xf numFmtId="0" fontId="0" fillId="0" borderId="0" xfId="0" applyFill="1" applyBorder="1" applyAlignment="1" applyProtection="1">
      <alignment vertical="center"/>
      <protection locked="0"/>
    </xf>
    <xf numFmtId="0" fontId="0" fillId="7" borderId="16" xfId="0" applyFill="1" applyBorder="1" applyAlignment="1" applyProtection="1">
      <alignment horizontal="left" vertical="center" wrapText="1"/>
      <protection locked="0"/>
    </xf>
    <xf numFmtId="0" fontId="11" fillId="28" borderId="1" xfId="0" applyFont="1" applyFill="1" applyBorder="1" applyAlignment="1" applyProtection="1">
      <alignment horizontal="center" vertical="center"/>
      <protection hidden="1"/>
    </xf>
    <xf numFmtId="0" fontId="11" fillId="0" borderId="16" xfId="0" applyFont="1" applyBorder="1"/>
    <xf numFmtId="0" fontId="0" fillId="0" borderId="21" xfId="0" applyBorder="1" applyAlignment="1">
      <alignment horizontal="center" vertical="center"/>
    </xf>
    <xf numFmtId="0" fontId="0" fillId="0" borderId="16" xfId="0" applyBorder="1" applyAlignment="1">
      <alignment horizontal="center" vertical="center"/>
    </xf>
    <xf numFmtId="0" fontId="0" fillId="0" borderId="16" xfId="0" applyFill="1" applyBorder="1"/>
    <xf numFmtId="0" fontId="0" fillId="18" borderId="17" xfId="0" quotePrefix="1" applyFill="1" applyBorder="1" applyAlignment="1" applyProtection="1"/>
    <xf numFmtId="0" fontId="0" fillId="18" borderId="18" xfId="0" applyFill="1" applyBorder="1" applyAlignment="1" applyProtection="1"/>
    <xf numFmtId="0" fontId="0" fillId="7" borderId="16" xfId="0" quotePrefix="1" applyFill="1" applyBorder="1" applyAlignment="1" applyProtection="1">
      <alignment horizontal="center" vertical="center"/>
    </xf>
    <xf numFmtId="0" fontId="0" fillId="7" borderId="16" xfId="0" applyFill="1" applyBorder="1" applyAlignment="1" applyProtection="1">
      <alignment horizontal="center" vertical="center"/>
    </xf>
    <xf numFmtId="0" fontId="0" fillId="28" borderId="0" xfId="0" applyFill="1" applyAlignment="1" applyProtection="1">
      <alignment horizontal="center" vertical="center"/>
      <protection locked="0" hidden="1"/>
    </xf>
    <xf numFmtId="0" fontId="0" fillId="0" borderId="24" xfId="0" applyFill="1" applyBorder="1" applyProtection="1">
      <protection hidden="1"/>
    </xf>
    <xf numFmtId="0" fontId="0" fillId="28" borderId="16" xfId="0" applyFill="1" applyBorder="1" applyAlignment="1" applyProtection="1">
      <alignment horizontal="center" vertical="center"/>
      <protection locked="0" hidden="1"/>
    </xf>
    <xf numFmtId="0" fontId="0" fillId="33" borderId="17" xfId="0" applyFill="1" applyBorder="1" applyAlignment="1" applyProtection="1">
      <alignment vertical="center" wrapText="1"/>
      <protection locked="0" hidden="1"/>
    </xf>
    <xf numFmtId="0" fontId="0" fillId="33" borderId="18" xfId="0" applyFill="1" applyBorder="1" applyAlignment="1" applyProtection="1">
      <alignment vertical="center" wrapText="1"/>
      <protection locked="0" hidden="1"/>
    </xf>
    <xf numFmtId="0" fontId="0" fillId="0" borderId="0" xfId="0" applyAlignment="1" applyProtection="1">
      <alignment horizontal="center" vertical="center"/>
      <protection locked="0" hidden="1"/>
    </xf>
    <xf numFmtId="0" fontId="0" fillId="0" borderId="0" xfId="0" applyFill="1" applyAlignment="1" applyProtection="1">
      <alignment horizontal="center" vertical="center"/>
      <protection locked="0" hidden="1"/>
    </xf>
    <xf numFmtId="0" fontId="0" fillId="0" borderId="0" xfId="0" applyAlignment="1" applyProtection="1">
      <alignment horizontal="left" vertical="center" wrapText="1"/>
      <protection locked="0"/>
    </xf>
    <xf numFmtId="0" fontId="11" fillId="7" borderId="14" xfId="0" applyFont="1" applyFill="1" applyBorder="1" applyAlignment="1" applyProtection="1">
      <alignment horizontal="left" vertical="center" wrapText="1"/>
      <protection locked="0"/>
    </xf>
    <xf numFmtId="0" fontId="0" fillId="7" borderId="21" xfId="0" applyFill="1" applyBorder="1" applyAlignment="1" applyProtection="1">
      <alignment horizontal="left" vertical="center" wrapText="1"/>
      <protection locked="0"/>
    </xf>
    <xf numFmtId="0" fontId="0" fillId="7" borderId="16" xfId="0" quotePrefix="1" applyFill="1" applyBorder="1" applyAlignment="1" applyProtection="1">
      <alignment horizontal="left" vertical="center" wrapText="1"/>
      <protection locked="0"/>
    </xf>
    <xf numFmtId="0" fontId="3" fillId="7" borderId="16" xfId="0" applyFont="1" applyFill="1" applyBorder="1" applyAlignment="1" applyProtection="1">
      <alignment horizontal="left" vertical="center" wrapText="1"/>
      <protection locked="0"/>
    </xf>
    <xf numFmtId="0" fontId="0" fillId="7" borderId="16"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11" fillId="7" borderId="15" xfId="0" applyFont="1" applyFill="1" applyBorder="1" applyAlignment="1" applyProtection="1">
      <alignment horizontal="left" vertical="center" wrapText="1"/>
      <protection locked="0"/>
    </xf>
    <xf numFmtId="0" fontId="11" fillId="7" borderId="7" xfId="0" applyFont="1" applyFill="1" applyBorder="1" applyAlignment="1" applyProtection="1">
      <alignment horizontal="left" vertical="center"/>
      <protection locked="0"/>
    </xf>
    <xf numFmtId="0" fontId="0" fillId="7" borderId="21" xfId="0" applyFill="1" applyBorder="1" applyAlignment="1" applyProtection="1">
      <alignment horizontal="left" vertical="center"/>
      <protection locked="0"/>
    </xf>
    <xf numFmtId="0" fontId="26" fillId="7" borderId="0" xfId="0" applyFont="1" applyFill="1" applyAlignment="1" applyProtection="1">
      <alignment horizontal="left" vertical="center" wrapText="1"/>
      <protection locked="0"/>
    </xf>
    <xf numFmtId="0" fontId="0" fillId="7" borderId="18" xfId="0" applyFill="1" applyBorder="1" applyAlignment="1" applyProtection="1">
      <alignment horizontal="left" vertical="center"/>
      <protection locked="0"/>
    </xf>
    <xf numFmtId="0" fontId="0" fillId="7" borderId="17" xfId="0" applyFill="1" applyBorder="1" applyAlignment="1" applyProtection="1">
      <alignment horizontal="left" vertical="center" wrapText="1"/>
      <protection locked="0"/>
    </xf>
    <xf numFmtId="0" fontId="0" fillId="7" borderId="22" xfId="0" applyFont="1" applyFill="1" applyBorder="1" applyAlignment="1" applyProtection="1">
      <alignment horizontal="left" vertical="center" wrapText="1"/>
      <protection locked="0"/>
    </xf>
    <xf numFmtId="0" fontId="32" fillId="7" borderId="0" xfId="0" applyFont="1" applyFill="1" applyProtection="1">
      <protection locked="0"/>
    </xf>
    <xf numFmtId="0" fontId="0" fillId="7" borderId="18" xfId="0" quotePrefix="1" applyFill="1" applyBorder="1" applyAlignment="1" applyProtection="1">
      <alignment horizontal="left" vertical="center"/>
      <protection locked="0"/>
    </xf>
    <xf numFmtId="0" fontId="0" fillId="7" borderId="16" xfId="0" quotePrefix="1" applyFill="1" applyBorder="1" applyAlignment="1" applyProtection="1">
      <alignment horizontal="left" vertical="center"/>
      <protection locked="0"/>
    </xf>
    <xf numFmtId="0" fontId="0" fillId="7" borderId="16" xfId="0" applyFont="1" applyFill="1" applyBorder="1" applyAlignment="1" applyProtection="1">
      <alignment horizontal="left" vertical="center" wrapText="1"/>
      <protection locked="0"/>
    </xf>
    <xf numFmtId="14" fontId="3" fillId="0" borderId="0" xfId="0" applyNumberFormat="1" applyFont="1"/>
    <xf numFmtId="0" fontId="0" fillId="0" borderId="0" xfId="0" applyAlignment="1">
      <alignment vertical="center" wrapText="1"/>
    </xf>
    <xf numFmtId="0" fontId="35" fillId="0" borderId="68" xfId="0" applyFont="1" applyBorder="1" applyAlignment="1">
      <alignment vertical="center" wrapText="1"/>
    </xf>
    <xf numFmtId="0" fontId="34" fillId="0" borderId="0" xfId="0" applyFont="1" applyAlignment="1">
      <alignment vertical="center" wrapText="1"/>
    </xf>
    <xf numFmtId="0" fontId="34" fillId="0" borderId="0" xfId="0" applyFont="1"/>
    <xf numFmtId="0" fontId="33" fillId="0" borderId="0" xfId="1"/>
    <xf numFmtId="0" fontId="36" fillId="0" borderId="68" xfId="0" applyFont="1" applyBorder="1" applyAlignment="1">
      <alignment vertical="center" wrapText="1"/>
    </xf>
    <xf numFmtId="0" fontId="37" fillId="0" borderId="68" xfId="0" applyFont="1" applyBorder="1" applyAlignment="1">
      <alignment vertical="center" wrapText="1"/>
    </xf>
    <xf numFmtId="0" fontId="37" fillId="0" borderId="0" xfId="0" applyFont="1" applyAlignment="1">
      <alignmen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4" fillId="0" borderId="0" xfId="0" applyFont="1" applyAlignment="1">
      <alignment horizontal="left" vertical="center" wrapText="1"/>
    </xf>
    <xf numFmtId="0" fontId="37" fillId="0" borderId="69" xfId="0" applyFont="1" applyBorder="1" applyAlignment="1">
      <alignment vertical="center" wrapText="1"/>
    </xf>
    <xf numFmtId="0" fontId="37" fillId="0" borderId="0" xfId="0" applyFont="1" applyAlignment="1">
      <alignment vertical="center" wrapText="1"/>
    </xf>
    <xf numFmtId="0" fontId="1" fillId="28" borderId="16" xfId="0" applyFont="1" applyFill="1" applyBorder="1" applyAlignment="1" applyProtection="1">
      <alignment horizontal="center" vertical="center"/>
      <protection hidden="1"/>
    </xf>
    <xf numFmtId="0" fontId="19" fillId="8" borderId="19" xfId="0" applyFont="1" applyFill="1" applyBorder="1" applyAlignment="1" applyProtection="1">
      <alignment horizontal="center" vertical="center"/>
      <protection hidden="1"/>
    </xf>
    <xf numFmtId="0" fontId="0" fillId="8" borderId="3" xfId="0" applyFont="1" applyFill="1" applyBorder="1" applyAlignment="1" applyProtection="1">
      <alignment horizontal="center" vertical="center" wrapText="1"/>
      <protection hidden="1"/>
    </xf>
    <xf numFmtId="0" fontId="0" fillId="8" borderId="11" xfId="0" applyFont="1" applyFill="1" applyBorder="1" applyAlignment="1" applyProtection="1">
      <alignment horizontal="center" vertical="center" wrapText="1"/>
      <protection hidden="1"/>
    </xf>
    <xf numFmtId="0" fontId="0" fillId="8" borderId="12" xfId="0" applyFont="1" applyFill="1" applyBorder="1" applyAlignment="1" applyProtection="1">
      <alignment horizontal="center" vertical="center" wrapText="1"/>
      <protection hidden="1"/>
    </xf>
    <xf numFmtId="0" fontId="1" fillId="28" borderId="37" xfId="0" applyFont="1" applyFill="1" applyBorder="1" applyAlignment="1" applyProtection="1">
      <alignment horizontal="left" vertical="center" wrapText="1"/>
      <protection hidden="1"/>
    </xf>
    <xf numFmtId="0" fontId="27" fillId="28" borderId="0" xfId="0" applyFont="1" applyFill="1" applyBorder="1" applyAlignment="1" applyProtection="1">
      <alignment horizontal="left" vertical="top" wrapText="1"/>
      <protection hidden="1"/>
    </xf>
    <xf numFmtId="0" fontId="0" fillId="28" borderId="0" xfId="0" applyFill="1" applyBorder="1" applyAlignment="1" applyProtection="1">
      <alignment horizontal="left" vertical="top" wrapText="1"/>
      <protection hidden="1"/>
    </xf>
    <xf numFmtId="0" fontId="20" fillId="8" borderId="1" xfId="0" applyFont="1" applyFill="1" applyBorder="1" applyAlignment="1" applyProtection="1">
      <alignment horizontal="center" vertical="center" wrapText="1"/>
      <protection hidden="1"/>
    </xf>
    <xf numFmtId="0" fontId="20" fillId="8" borderId="8" xfId="0" applyFont="1" applyFill="1" applyBorder="1" applyAlignment="1" applyProtection="1">
      <alignment horizontal="center" vertical="center" wrapText="1"/>
      <protection hidden="1"/>
    </xf>
    <xf numFmtId="0" fontId="20" fillId="8" borderId="9" xfId="0" applyFont="1" applyFill="1" applyBorder="1" applyAlignment="1" applyProtection="1">
      <alignment horizontal="center" vertical="center" wrapText="1"/>
      <protection hidden="1"/>
    </xf>
    <xf numFmtId="0" fontId="20" fillId="8" borderId="3" xfId="0" applyFont="1" applyFill="1" applyBorder="1" applyAlignment="1" applyProtection="1">
      <alignment horizontal="center" vertical="center" wrapText="1"/>
      <protection hidden="1"/>
    </xf>
    <xf numFmtId="0" fontId="20" fillId="8" borderId="11" xfId="0" applyFont="1" applyFill="1" applyBorder="1" applyAlignment="1" applyProtection="1">
      <alignment horizontal="center" vertical="center" wrapText="1"/>
      <protection hidden="1"/>
    </xf>
    <xf numFmtId="0" fontId="20" fillId="8" borderId="12" xfId="0" applyFont="1" applyFill="1" applyBorder="1" applyAlignment="1" applyProtection="1">
      <alignment horizontal="center" vertical="center" wrapText="1"/>
      <protection hidden="1"/>
    </xf>
    <xf numFmtId="0" fontId="11" fillId="28" borderId="11" xfId="0" applyFont="1" applyFill="1" applyBorder="1" applyAlignment="1" applyProtection="1">
      <alignment horizontal="center" vertical="center"/>
      <protection hidden="1"/>
    </xf>
    <xf numFmtId="0" fontId="11" fillId="28" borderId="8" xfId="0" applyFont="1" applyFill="1" applyBorder="1" applyAlignment="1" applyProtection="1">
      <alignment horizontal="center" vertical="center" wrapText="1"/>
      <protection hidden="1"/>
    </xf>
    <xf numFmtId="0" fontId="31" fillId="8" borderId="0" xfId="0" applyFont="1" applyFill="1" applyBorder="1" applyAlignment="1" applyProtection="1">
      <alignment horizontal="center" vertical="center" wrapText="1"/>
      <protection hidden="1"/>
    </xf>
    <xf numFmtId="0" fontId="1" fillId="28" borderId="17" xfId="0" applyFont="1" applyFill="1" applyBorder="1" applyAlignment="1" applyProtection="1">
      <alignment horizontal="center" vertical="center"/>
      <protection hidden="1"/>
    </xf>
    <xf numFmtId="0" fontId="1" fillId="28" borderId="18" xfId="0" applyFont="1" applyFill="1" applyBorder="1" applyAlignment="1" applyProtection="1">
      <alignment horizontal="center" vertical="center"/>
      <protection hidden="1"/>
    </xf>
    <xf numFmtId="0" fontId="0" fillId="8" borderId="0" xfId="0" applyFill="1" applyBorder="1" applyAlignment="1" applyProtection="1">
      <alignment horizontal="left" vertical="top" wrapText="1"/>
      <protection hidden="1"/>
    </xf>
    <xf numFmtId="0" fontId="0" fillId="21" borderId="16" xfId="0" applyFill="1" applyBorder="1" applyAlignment="1" applyProtection="1">
      <alignment horizontal="center" vertical="center" wrapText="1"/>
      <protection hidden="1"/>
    </xf>
    <xf numFmtId="0" fontId="0" fillId="8" borderId="0" xfId="0" applyFill="1" applyAlignment="1" applyProtection="1">
      <alignment horizontal="center" vertical="center" wrapText="1"/>
      <protection hidden="1"/>
    </xf>
    <xf numFmtId="0" fontId="29" fillId="28" borderId="0" xfId="0" applyFont="1" applyFill="1" applyAlignment="1" applyProtection="1">
      <alignment horizontal="center" vertical="center"/>
      <protection hidden="1"/>
    </xf>
    <xf numFmtId="164" fontId="0" fillId="20" borderId="56" xfId="0" applyNumberFormat="1" applyFill="1" applyBorder="1" applyAlignment="1" applyProtection="1">
      <alignment horizontal="left" vertical="center"/>
      <protection locked="0" hidden="1"/>
    </xf>
    <xf numFmtId="164" fontId="0" fillId="20" borderId="23" xfId="0" applyNumberFormat="1" applyFill="1" applyBorder="1" applyAlignment="1" applyProtection="1">
      <alignment horizontal="left" vertical="center"/>
      <protection locked="0" hidden="1"/>
    </xf>
    <xf numFmtId="164" fontId="0" fillId="20" borderId="57" xfId="0" applyNumberFormat="1" applyFill="1" applyBorder="1" applyAlignment="1" applyProtection="1">
      <alignment horizontal="left" vertical="center"/>
      <protection locked="0" hidden="1"/>
    </xf>
    <xf numFmtId="164" fontId="0" fillId="20" borderId="53" xfId="0" applyNumberFormat="1" applyFill="1" applyBorder="1" applyAlignment="1" applyProtection="1">
      <alignment horizontal="left" vertical="center"/>
      <protection locked="0" hidden="1"/>
    </xf>
    <xf numFmtId="164" fontId="0" fillId="20" borderId="37" xfId="0" applyNumberFormat="1" applyFill="1" applyBorder="1" applyAlignment="1" applyProtection="1">
      <alignment horizontal="left" vertical="center"/>
      <protection locked="0" hidden="1"/>
    </xf>
    <xf numFmtId="164" fontId="0" fillId="20" borderId="58" xfId="0" applyNumberFormat="1" applyFill="1" applyBorder="1" applyAlignment="1" applyProtection="1">
      <alignment horizontal="left" vertical="center"/>
      <protection locked="0" hidden="1"/>
    </xf>
    <xf numFmtId="0" fontId="0" fillId="20" borderId="17" xfId="0" applyFill="1" applyBorder="1" applyAlignment="1" applyProtection="1">
      <alignment horizontal="center" vertical="center"/>
      <protection locked="0" hidden="1"/>
    </xf>
    <xf numFmtId="0" fontId="0" fillId="20" borderId="19" xfId="0" applyFill="1" applyBorder="1" applyAlignment="1" applyProtection="1">
      <alignment horizontal="center" vertical="center"/>
      <protection locked="0" hidden="1"/>
    </xf>
    <xf numFmtId="0" fontId="0" fillId="20" borderId="18" xfId="0" applyFill="1" applyBorder="1" applyAlignment="1" applyProtection="1">
      <alignment horizontal="center" vertical="center"/>
      <protection locked="0" hidden="1"/>
    </xf>
    <xf numFmtId="0" fontId="0" fillId="8" borderId="0" xfId="0" applyFill="1" applyAlignment="1" applyProtection="1">
      <alignment horizontal="left" vertical="center" wrapText="1"/>
      <protection hidden="1"/>
    </xf>
    <xf numFmtId="0" fontId="0" fillId="14" borderId="17" xfId="0" applyFill="1" applyBorder="1" applyAlignment="1" applyProtection="1">
      <alignment horizontal="center" vertical="center"/>
      <protection locked="0" hidden="1"/>
    </xf>
    <xf numFmtId="0" fontId="0" fillId="14" borderId="18" xfId="0" applyFill="1" applyBorder="1" applyAlignment="1" applyProtection="1">
      <alignment horizontal="center" vertical="center"/>
      <protection locked="0" hidden="1"/>
    </xf>
    <xf numFmtId="0" fontId="0" fillId="19" borderId="17" xfId="0" applyFill="1" applyBorder="1" applyAlignment="1" applyProtection="1">
      <alignment horizontal="left" vertical="center" wrapText="1"/>
      <protection hidden="1"/>
    </xf>
    <xf numFmtId="0" fontId="0" fillId="19" borderId="19" xfId="0" applyFill="1" applyBorder="1" applyAlignment="1" applyProtection="1">
      <alignment horizontal="left" vertical="center" wrapText="1"/>
      <protection hidden="1"/>
    </xf>
    <xf numFmtId="0" fontId="0" fillId="19" borderId="18" xfId="0" applyFill="1" applyBorder="1" applyAlignment="1" applyProtection="1">
      <alignment horizontal="left" vertical="center" wrapText="1"/>
      <protection hidden="1"/>
    </xf>
    <xf numFmtId="0" fontId="0" fillId="19" borderId="17" xfId="0" applyFill="1" applyBorder="1" applyAlignment="1">
      <alignment horizontal="left" vertical="center" wrapText="1"/>
    </xf>
    <xf numFmtId="0" fontId="0" fillId="19" borderId="19" xfId="0" applyFill="1" applyBorder="1" applyAlignment="1">
      <alignment horizontal="left" vertical="center" wrapText="1"/>
    </xf>
    <xf numFmtId="0" fontId="0" fillId="19" borderId="18" xfId="0" applyFill="1" applyBorder="1" applyAlignment="1">
      <alignment horizontal="left" vertical="center" wrapText="1"/>
    </xf>
    <xf numFmtId="0" fontId="0" fillId="8" borderId="5" xfId="0" applyFont="1" applyFill="1" applyBorder="1" applyAlignment="1" applyProtection="1">
      <alignment horizontal="center" vertical="center"/>
      <protection hidden="1"/>
    </xf>
    <xf numFmtId="0" fontId="0" fillId="8" borderId="0" xfId="0" applyFont="1" applyFill="1" applyBorder="1" applyAlignment="1" applyProtection="1">
      <alignment horizontal="center" vertical="center"/>
      <protection hidden="1"/>
    </xf>
    <xf numFmtId="0" fontId="0" fillId="8" borderId="10" xfId="0" applyFont="1" applyFill="1" applyBorder="1" applyAlignment="1" applyProtection="1">
      <alignment horizontal="center" vertical="center"/>
      <protection hidden="1"/>
    </xf>
    <xf numFmtId="0" fontId="0" fillId="8" borderId="5" xfId="0" applyFont="1" applyFill="1" applyBorder="1" applyAlignment="1" applyProtection="1">
      <alignment horizontal="center" vertical="center" wrapText="1"/>
      <protection hidden="1"/>
    </xf>
    <xf numFmtId="0" fontId="0" fillId="8" borderId="0" xfId="0" applyFont="1" applyFill="1" applyBorder="1" applyAlignment="1" applyProtection="1">
      <alignment horizontal="center" vertical="center" wrapText="1"/>
      <protection hidden="1"/>
    </xf>
    <xf numFmtId="0" fontId="0" fillId="8" borderId="10" xfId="0" applyFont="1" applyFill="1" applyBorder="1" applyAlignment="1" applyProtection="1">
      <alignment horizontal="center" vertical="center" wrapText="1"/>
      <protection hidden="1"/>
    </xf>
    <xf numFmtId="0" fontId="0" fillId="33" borderId="17" xfId="0" applyFill="1" applyBorder="1" applyAlignment="1" applyProtection="1">
      <alignment horizontal="center" vertical="center"/>
      <protection locked="0" hidden="1"/>
    </xf>
    <xf numFmtId="0" fontId="0" fillId="33" borderId="18" xfId="0" applyFill="1" applyBorder="1" applyAlignment="1" applyProtection="1">
      <alignment horizontal="center" vertical="center"/>
      <protection locked="0" hidden="1"/>
    </xf>
    <xf numFmtId="0" fontId="23" fillId="28" borderId="0" xfId="0" applyFont="1" applyFill="1" applyAlignment="1" applyProtection="1">
      <alignment horizontal="center"/>
      <protection hidden="1"/>
    </xf>
    <xf numFmtId="0" fontId="11" fillId="19" borderId="1" xfId="0" applyFont="1" applyFill="1" applyBorder="1" applyAlignment="1" applyProtection="1">
      <alignment horizontal="center" vertical="center" wrapText="1"/>
      <protection hidden="1"/>
    </xf>
    <xf numFmtId="0" fontId="11" fillId="19" borderId="8" xfId="0" applyFont="1" applyFill="1" applyBorder="1" applyAlignment="1" applyProtection="1">
      <alignment horizontal="center" vertical="center" wrapText="1"/>
      <protection hidden="1"/>
    </xf>
    <xf numFmtId="0" fontId="11" fillId="19" borderId="9" xfId="0" applyFont="1" applyFill="1" applyBorder="1" applyAlignment="1" applyProtection="1">
      <alignment horizontal="center" vertical="center" wrapText="1"/>
      <protection hidden="1"/>
    </xf>
    <xf numFmtId="0" fontId="11" fillId="19" borderId="3" xfId="0" applyFont="1" applyFill="1" applyBorder="1" applyAlignment="1" applyProtection="1">
      <alignment horizontal="center" vertical="center" wrapText="1"/>
      <protection hidden="1"/>
    </xf>
    <xf numFmtId="0" fontId="11" fillId="19" borderId="11" xfId="0" applyFont="1" applyFill="1" applyBorder="1" applyAlignment="1" applyProtection="1">
      <alignment horizontal="center" vertical="center" wrapText="1"/>
      <protection hidden="1"/>
    </xf>
    <xf numFmtId="0" fontId="11" fillId="19" borderId="12" xfId="0" applyFont="1" applyFill="1" applyBorder="1" applyAlignment="1" applyProtection="1">
      <alignment horizontal="center" vertical="center" wrapText="1"/>
      <protection hidden="1"/>
    </xf>
    <xf numFmtId="0" fontId="0" fillId="8" borderId="1" xfId="0" applyFont="1" applyFill="1" applyBorder="1" applyAlignment="1" applyProtection="1">
      <alignment horizontal="center" vertical="center"/>
      <protection hidden="1"/>
    </xf>
    <xf numFmtId="0" fontId="0" fillId="8" borderId="8" xfId="0" applyFont="1" applyFill="1" applyBorder="1" applyAlignment="1" applyProtection="1">
      <alignment horizontal="center" vertical="center"/>
      <protection hidden="1"/>
    </xf>
    <xf numFmtId="0" fontId="0" fillId="8" borderId="9" xfId="0" applyFont="1" applyFill="1" applyBorder="1" applyAlignment="1" applyProtection="1">
      <alignment horizontal="center" vertical="center"/>
      <protection hidden="1"/>
    </xf>
    <xf numFmtId="0" fontId="20" fillId="8" borderId="0" xfId="0" applyFont="1" applyFill="1" applyAlignment="1" applyProtection="1">
      <alignment horizontal="center" vertical="center"/>
      <protection hidden="1"/>
    </xf>
    <xf numFmtId="0" fontId="0" fillId="28" borderId="0" xfId="0" applyFill="1" applyAlignment="1" applyProtection="1">
      <alignment horizontal="center"/>
      <protection hidden="1"/>
    </xf>
    <xf numFmtId="0" fontId="1" fillId="28" borderId="0" xfId="0" applyFont="1" applyFill="1" applyAlignment="1" applyProtection="1">
      <alignment horizontal="center" vertical="center" wrapText="1"/>
      <protection hidden="1"/>
    </xf>
    <xf numFmtId="0" fontId="0" fillId="21" borderId="17" xfId="0" applyFill="1" applyBorder="1" applyAlignment="1" applyProtection="1">
      <alignment horizontal="center" vertical="center" wrapText="1"/>
      <protection hidden="1"/>
    </xf>
    <xf numFmtId="0" fontId="0" fillId="21" borderId="19" xfId="0" applyFill="1" applyBorder="1" applyAlignment="1" applyProtection="1">
      <alignment horizontal="center" vertical="center" wrapText="1"/>
      <protection hidden="1"/>
    </xf>
    <xf numFmtId="0" fontId="0" fillId="21" borderId="18" xfId="0" applyFill="1" applyBorder="1" applyAlignment="1" applyProtection="1">
      <alignment horizontal="center" vertical="center" wrapText="1"/>
      <protection hidden="1"/>
    </xf>
    <xf numFmtId="0" fontId="0" fillId="20" borderId="17" xfId="0" applyFill="1" applyBorder="1" applyAlignment="1" applyProtection="1">
      <alignment horizontal="left" vertical="center"/>
      <protection locked="0" hidden="1"/>
    </xf>
    <xf numFmtId="0" fontId="0" fillId="20" borderId="18" xfId="0" applyFill="1" applyBorder="1" applyAlignment="1" applyProtection="1">
      <alignment horizontal="left" vertical="center"/>
      <protection locked="0" hidden="1"/>
    </xf>
    <xf numFmtId="0" fontId="0" fillId="20" borderId="56" xfId="0" applyFill="1" applyBorder="1" applyAlignment="1" applyProtection="1">
      <alignment horizontal="left" vertical="center"/>
      <protection locked="0" hidden="1"/>
    </xf>
    <xf numFmtId="0" fontId="0" fillId="20" borderId="23" xfId="0" applyFill="1" applyBorder="1" applyAlignment="1" applyProtection="1">
      <alignment horizontal="left" vertical="center"/>
      <protection locked="0" hidden="1"/>
    </xf>
    <xf numFmtId="0" fontId="0" fillId="20" borderId="57" xfId="0" applyFill="1" applyBorder="1" applyAlignment="1" applyProtection="1">
      <alignment horizontal="left" vertical="center"/>
      <protection locked="0" hidden="1"/>
    </xf>
    <xf numFmtId="0" fontId="19" fillId="8" borderId="8" xfId="0" applyFont="1" applyFill="1" applyBorder="1" applyAlignment="1" applyProtection="1">
      <alignment horizontal="center" vertical="center"/>
      <protection hidden="1"/>
    </xf>
    <xf numFmtId="0" fontId="0" fillId="18" borderId="17" xfId="0" applyFont="1" applyFill="1" applyBorder="1" applyAlignment="1" applyProtection="1">
      <alignment horizontal="center" vertical="center" wrapText="1"/>
      <protection hidden="1"/>
    </xf>
    <xf numFmtId="0" fontId="0" fillId="18" borderId="19" xfId="0" applyFont="1" applyFill="1" applyBorder="1" applyAlignment="1" applyProtection="1">
      <alignment horizontal="center" vertical="center" wrapText="1"/>
      <protection hidden="1"/>
    </xf>
    <xf numFmtId="0" fontId="0" fillId="18" borderId="18" xfId="0" applyFont="1" applyFill="1" applyBorder="1" applyAlignment="1" applyProtection="1">
      <alignment horizontal="center" vertical="center" wrapText="1"/>
      <protection hidden="1"/>
    </xf>
    <xf numFmtId="0" fontId="30" fillId="8" borderId="0" xfId="0" applyFont="1" applyFill="1" applyAlignment="1" applyProtection="1">
      <alignment horizontal="left" vertical="center" wrapText="1"/>
      <protection hidden="1"/>
    </xf>
    <xf numFmtId="0" fontId="19" fillId="8" borderId="1" xfId="0" applyFont="1" applyFill="1" applyBorder="1" applyAlignment="1" applyProtection="1">
      <alignment horizontal="left" vertical="top"/>
      <protection locked="0" hidden="1"/>
    </xf>
    <xf numFmtId="0" fontId="19" fillId="8" borderId="8" xfId="0" applyFont="1" applyFill="1" applyBorder="1" applyAlignment="1" applyProtection="1">
      <alignment horizontal="left" vertical="top"/>
      <protection locked="0" hidden="1"/>
    </xf>
    <xf numFmtId="0" fontId="19" fillId="8" borderId="3" xfId="0" applyFont="1" applyFill="1" applyBorder="1" applyAlignment="1" applyProtection="1">
      <alignment horizontal="left" vertical="center"/>
      <protection hidden="1"/>
    </xf>
    <xf numFmtId="0" fontId="19" fillId="8" borderId="11" xfId="0" applyFont="1" applyFill="1" applyBorder="1" applyAlignment="1" applyProtection="1">
      <alignment horizontal="left" vertical="center"/>
      <protection hidden="1"/>
    </xf>
    <xf numFmtId="0" fontId="0" fillId="28" borderId="0" xfId="0" applyFill="1" applyAlignment="1" applyProtection="1">
      <alignment horizontal="right" vertical="center"/>
      <protection hidden="1"/>
    </xf>
    <xf numFmtId="0" fontId="0" fillId="28" borderId="35" xfId="0" applyFill="1" applyBorder="1" applyAlignment="1" applyProtection="1">
      <alignment horizontal="right" vertical="center"/>
      <protection hidden="1"/>
    </xf>
    <xf numFmtId="0" fontId="20" fillId="8" borderId="0" xfId="0" applyFont="1" applyFill="1" applyAlignment="1" applyProtection="1">
      <alignment horizontal="left" vertical="center"/>
      <protection hidden="1"/>
    </xf>
    <xf numFmtId="0" fontId="3" fillId="28" borderId="17" xfId="0" quotePrefix="1" applyFont="1" applyFill="1" applyBorder="1" applyAlignment="1" applyProtection="1">
      <alignment horizontal="center" vertical="center"/>
      <protection locked="0" hidden="1"/>
    </xf>
    <xf numFmtId="0" fontId="3" fillId="28" borderId="19" xfId="0" quotePrefix="1" applyFont="1" applyFill="1" applyBorder="1" applyAlignment="1" applyProtection="1">
      <alignment horizontal="center" vertical="center"/>
      <protection locked="0" hidden="1"/>
    </xf>
    <xf numFmtId="0" fontId="3" fillId="21" borderId="16" xfId="0" quotePrefix="1" applyFont="1" applyFill="1" applyBorder="1" applyAlignment="1" applyProtection="1">
      <alignment horizontal="center" vertical="center" wrapText="1"/>
      <protection hidden="1"/>
    </xf>
    <xf numFmtId="0" fontId="3" fillId="18" borderId="16" xfId="0" quotePrefix="1" applyFont="1" applyFill="1" applyBorder="1" applyAlignment="1" applyProtection="1">
      <alignment horizontal="center" vertical="center" wrapText="1"/>
      <protection hidden="1"/>
    </xf>
    <xf numFmtId="0" fontId="0" fillId="20" borderId="17" xfId="0" applyFill="1" applyBorder="1" applyAlignment="1" applyProtection="1">
      <alignment horizontal="left" vertical="center" wrapText="1"/>
      <protection locked="0" hidden="1"/>
    </xf>
    <xf numFmtId="0" fontId="0" fillId="20" borderId="19" xfId="0" applyFill="1" applyBorder="1" applyAlignment="1" applyProtection="1">
      <alignment horizontal="left" vertical="center" wrapText="1"/>
      <protection locked="0" hidden="1"/>
    </xf>
    <xf numFmtId="0" fontId="0" fillId="20" borderId="18" xfId="0" applyFill="1" applyBorder="1" applyAlignment="1" applyProtection="1">
      <alignment horizontal="left" vertical="center" wrapText="1"/>
      <protection locked="0" hidden="1"/>
    </xf>
    <xf numFmtId="0" fontId="3" fillId="28" borderId="17" xfId="0" quotePrefix="1" applyFont="1" applyFill="1" applyBorder="1" applyAlignment="1" applyProtection="1">
      <alignment horizontal="center" vertical="center" wrapText="1"/>
      <protection locked="0" hidden="1"/>
    </xf>
    <xf numFmtId="0" fontId="3" fillId="28" borderId="18" xfId="0" quotePrefix="1" applyFont="1" applyFill="1" applyBorder="1" applyAlignment="1" applyProtection="1">
      <alignment horizontal="center" vertical="center" wrapText="1"/>
      <protection locked="0" hidden="1"/>
    </xf>
    <xf numFmtId="0" fontId="1" fillId="28" borderId="17" xfId="0" applyFont="1" applyFill="1" applyBorder="1" applyAlignment="1" applyProtection="1">
      <alignment horizontal="center" vertical="center" wrapText="1"/>
      <protection hidden="1"/>
    </xf>
    <xf numFmtId="0" fontId="1" fillId="28" borderId="18" xfId="0" applyFont="1" applyFill="1" applyBorder="1" applyAlignment="1" applyProtection="1">
      <alignment horizontal="center" vertical="center" wrapText="1"/>
      <protection hidden="1"/>
    </xf>
    <xf numFmtId="0" fontId="0" fillId="28" borderId="17" xfId="0" applyFill="1" applyBorder="1" applyAlignment="1" applyProtection="1">
      <alignment horizontal="center" vertical="center" wrapText="1"/>
      <protection locked="0" hidden="1"/>
    </xf>
    <xf numFmtId="0" fontId="0" fillId="28" borderId="18" xfId="0" applyFill="1" applyBorder="1" applyAlignment="1" applyProtection="1">
      <alignment horizontal="center" vertical="center" wrapText="1"/>
      <protection locked="0" hidden="1"/>
    </xf>
    <xf numFmtId="0" fontId="19" fillId="8" borderId="23" xfId="0" applyFont="1" applyFill="1" applyBorder="1" applyAlignment="1" applyProtection="1">
      <alignment horizontal="center" vertical="center"/>
      <protection hidden="1"/>
    </xf>
    <xf numFmtId="0" fontId="0" fillId="33" borderId="17" xfId="0" applyFill="1" applyBorder="1" applyAlignment="1" applyProtection="1">
      <alignment horizontal="center" vertical="center" wrapText="1"/>
      <protection locked="0" hidden="1"/>
    </xf>
    <xf numFmtId="0" fontId="0" fillId="33" borderId="18" xfId="0" applyFill="1" applyBorder="1" applyAlignment="1" applyProtection="1">
      <alignment horizontal="center" vertical="center" wrapText="1"/>
      <protection locked="0" hidden="1"/>
    </xf>
    <xf numFmtId="0" fontId="0" fillId="10" borderId="17" xfId="0" applyFill="1" applyBorder="1" applyAlignment="1" applyProtection="1">
      <alignment horizontal="center"/>
    </xf>
    <xf numFmtId="0" fontId="0" fillId="10" borderId="18" xfId="0" applyFill="1" applyBorder="1" applyAlignment="1" applyProtection="1">
      <alignment horizontal="center"/>
    </xf>
    <xf numFmtId="0" fontId="0" fillId="16" borderId="17" xfId="0" applyFill="1" applyBorder="1" applyAlignment="1" applyProtection="1">
      <alignment horizontal="center"/>
    </xf>
    <xf numFmtId="0" fontId="0" fillId="16" borderId="19" xfId="0" applyFill="1" applyBorder="1" applyAlignment="1" applyProtection="1">
      <alignment horizontal="center"/>
    </xf>
    <xf numFmtId="0" fontId="0" fillId="16" borderId="18" xfId="0" applyFill="1" applyBorder="1" applyAlignment="1" applyProtection="1">
      <alignment horizontal="center"/>
    </xf>
    <xf numFmtId="165" fontId="0" fillId="10" borderId="42" xfId="0" applyNumberFormat="1" applyFont="1" applyFill="1" applyBorder="1" applyAlignment="1" applyProtection="1">
      <alignment horizontal="right" vertical="center"/>
    </xf>
    <xf numFmtId="165" fontId="0" fillId="10" borderId="18" xfId="0" applyNumberFormat="1" applyFont="1" applyFill="1" applyBorder="1" applyAlignment="1" applyProtection="1">
      <alignment horizontal="right" vertical="center"/>
    </xf>
    <xf numFmtId="0" fontId="0" fillId="10" borderId="16" xfId="0" applyFill="1" applyBorder="1" applyAlignment="1" applyProtection="1">
      <alignment horizontal="center"/>
    </xf>
    <xf numFmtId="0" fontId="0" fillId="10" borderId="1" xfId="0" applyFont="1" applyFill="1" applyBorder="1" applyAlignment="1" applyProtection="1">
      <alignment horizontal="center"/>
    </xf>
    <xf numFmtId="0" fontId="0" fillId="10" borderId="8" xfId="0" applyFont="1" applyFill="1" applyBorder="1" applyAlignment="1" applyProtection="1">
      <alignment horizontal="center"/>
    </xf>
    <xf numFmtId="0" fontId="0" fillId="10" borderId="1" xfId="0" applyFill="1" applyBorder="1" applyAlignment="1" applyProtection="1">
      <alignment horizontal="center"/>
    </xf>
    <xf numFmtId="0" fontId="0" fillId="10" borderId="8" xfId="0" applyFill="1" applyBorder="1" applyAlignment="1" applyProtection="1">
      <alignment horizontal="center"/>
    </xf>
    <xf numFmtId="0" fontId="0" fillId="10" borderId="24" xfId="0" applyFill="1" applyBorder="1" applyAlignment="1" applyProtection="1">
      <alignment horizontal="left"/>
    </xf>
    <xf numFmtId="0" fontId="0" fillId="10" borderId="16" xfId="0" applyFill="1" applyBorder="1" applyAlignment="1" applyProtection="1">
      <alignment horizontal="left"/>
    </xf>
    <xf numFmtId="0" fontId="0" fillId="10" borderId="44" xfId="0" applyFill="1" applyBorder="1" applyAlignment="1" applyProtection="1">
      <alignment horizontal="center" vertical="center" wrapText="1"/>
    </xf>
    <xf numFmtId="0" fontId="0" fillId="10" borderId="23" xfId="0" applyFill="1" applyBorder="1" applyAlignment="1" applyProtection="1">
      <alignment horizontal="center" vertical="center" wrapText="1"/>
    </xf>
    <xf numFmtId="0" fontId="0" fillId="10" borderId="5" xfId="0" applyFill="1" applyBorder="1" applyAlignment="1" applyProtection="1">
      <alignment horizontal="center" vertical="center" wrapText="1"/>
    </xf>
    <xf numFmtId="0" fontId="0" fillId="10" borderId="0" xfId="0" applyFill="1" applyBorder="1" applyAlignment="1" applyProtection="1">
      <alignment horizontal="center" vertical="center" wrapText="1"/>
    </xf>
    <xf numFmtId="0" fontId="0" fillId="10" borderId="36" xfId="0" applyFill="1" applyBorder="1" applyAlignment="1" applyProtection="1">
      <alignment horizontal="center" vertical="center" wrapText="1"/>
    </xf>
    <xf numFmtId="0" fontId="0" fillId="10" borderId="37" xfId="0" applyFill="1" applyBorder="1" applyAlignment="1" applyProtection="1">
      <alignment horizontal="center" vertical="center" wrapText="1"/>
    </xf>
    <xf numFmtId="165" fontId="0" fillId="10" borderId="19" xfId="0" applyNumberFormat="1" applyFont="1" applyFill="1" applyBorder="1" applyAlignment="1" applyProtection="1">
      <alignment horizontal="right" vertical="center"/>
    </xf>
    <xf numFmtId="0" fontId="0" fillId="10" borderId="9" xfId="0" applyFill="1" applyBorder="1" applyAlignment="1" applyProtection="1">
      <alignment horizontal="center" vertical="center" wrapText="1"/>
    </xf>
    <xf numFmtId="0" fontId="0" fillId="10" borderId="10" xfId="0" applyFill="1" applyBorder="1" applyAlignment="1" applyProtection="1">
      <alignment horizontal="center" vertical="center" wrapText="1"/>
    </xf>
    <xf numFmtId="0" fontId="0" fillId="10" borderId="45" xfId="0" applyFill="1" applyBorder="1" applyAlignment="1" applyProtection="1">
      <alignment horizontal="center" vertical="center" wrapText="1"/>
    </xf>
    <xf numFmtId="0" fontId="0" fillId="10" borderId="0" xfId="0" applyFill="1" applyAlignment="1" applyProtection="1">
      <alignment horizontal="center"/>
    </xf>
    <xf numFmtId="0" fontId="0" fillId="10" borderId="16" xfId="0" applyFill="1" applyBorder="1" applyAlignment="1" applyProtection="1">
      <alignment horizontal="left" vertical="top"/>
    </xf>
    <xf numFmtId="0" fontId="0" fillId="18" borderId="16" xfId="0" applyFill="1" applyBorder="1" applyAlignment="1" applyProtection="1">
      <alignment horizontal="center"/>
    </xf>
    <xf numFmtId="0" fontId="0" fillId="18" borderId="17" xfId="0" applyFill="1" applyBorder="1" applyAlignment="1" applyProtection="1">
      <alignment horizontal="center" vertical="top"/>
    </xf>
    <xf numFmtId="0" fontId="0" fillId="18" borderId="18" xfId="0" applyFill="1" applyBorder="1" applyAlignment="1" applyProtection="1">
      <alignment horizontal="center" vertical="top"/>
    </xf>
    <xf numFmtId="0" fontId="1" fillId="0" borderId="0" xfId="0" applyFont="1" applyAlignment="1" applyProtection="1">
      <alignment horizontal="center"/>
    </xf>
    <xf numFmtId="0" fontId="3" fillId="0" borderId="0" xfId="0" applyFont="1" applyAlignment="1" applyProtection="1">
      <alignment horizontal="left" vertical="top" wrapText="1"/>
    </xf>
    <xf numFmtId="0" fontId="1" fillId="14" borderId="0" xfId="0" applyFont="1" applyFill="1" applyAlignment="1" applyProtection="1">
      <alignment horizontal="center" vertical="center" textRotation="90"/>
    </xf>
    <xf numFmtId="0" fontId="0" fillId="21" borderId="16" xfId="0" applyFill="1" applyBorder="1" applyAlignment="1" applyProtection="1">
      <alignment horizontal="center"/>
    </xf>
    <xf numFmtId="0" fontId="0" fillId="21" borderId="17" xfId="0" applyFill="1" applyBorder="1" applyAlignment="1" applyProtection="1">
      <alignment horizontal="left" vertical="top"/>
    </xf>
    <xf numFmtId="0" fontId="0" fillId="21" borderId="18" xfId="0" applyFill="1" applyBorder="1" applyAlignment="1" applyProtection="1">
      <alignment horizontal="left" vertical="top"/>
    </xf>
    <xf numFmtId="0" fontId="0" fillId="21" borderId="16" xfId="0" quotePrefix="1" applyFill="1" applyBorder="1" applyAlignment="1" applyProtection="1">
      <alignment horizontal="center"/>
    </xf>
    <xf numFmtId="0" fontId="0" fillId="21" borderId="17" xfId="0" applyFill="1" applyBorder="1" applyAlignment="1" applyProtection="1">
      <alignment horizontal="center" vertical="top"/>
    </xf>
    <xf numFmtId="0" fontId="0" fillId="21" borderId="18" xfId="0" applyFill="1" applyBorder="1" applyAlignment="1" applyProtection="1">
      <alignment horizontal="center" vertical="top"/>
    </xf>
    <xf numFmtId="0" fontId="0" fillId="10" borderId="26" xfId="0" applyFill="1" applyBorder="1" applyAlignment="1" applyProtection="1">
      <alignment horizontal="left"/>
    </xf>
    <xf numFmtId="0" fontId="0" fillId="10" borderId="27" xfId="0" applyFill="1" applyBorder="1" applyAlignment="1" applyProtection="1">
      <alignment horizontal="left"/>
    </xf>
    <xf numFmtId="0" fontId="0" fillId="32" borderId="42" xfId="0" applyFill="1" applyBorder="1" applyAlignment="1" applyProtection="1">
      <alignment horizontal="left" vertical="center" wrapText="1"/>
    </xf>
    <xf numFmtId="0" fontId="0" fillId="32" borderId="18" xfId="0" applyFill="1" applyBorder="1" applyAlignment="1" applyProtection="1">
      <alignment horizontal="left" vertical="center" wrapText="1"/>
    </xf>
    <xf numFmtId="0" fontId="0" fillId="0" borderId="0" xfId="0" applyFill="1" applyBorder="1" applyAlignment="1" applyProtection="1">
      <alignment horizontal="right"/>
    </xf>
    <xf numFmtId="0" fontId="0" fillId="0" borderId="35" xfId="0" applyFill="1" applyBorder="1" applyAlignment="1" applyProtection="1">
      <alignment horizontal="right"/>
    </xf>
    <xf numFmtId="0" fontId="0" fillId="0" borderId="24" xfId="0" applyBorder="1" applyAlignment="1" applyProtection="1">
      <alignment vertical="center"/>
    </xf>
    <xf numFmtId="0" fontId="0" fillId="0" borderId="25" xfId="0" applyBorder="1" applyAlignment="1" applyProtection="1">
      <alignment vertical="center"/>
    </xf>
    <xf numFmtId="0" fontId="0" fillId="0" borderId="26" xfId="0" applyBorder="1" applyAlignment="1" applyProtection="1">
      <alignment vertical="center"/>
    </xf>
    <xf numFmtId="0" fontId="0" fillId="0" borderId="28" xfId="0" applyBorder="1" applyAlignment="1" applyProtection="1">
      <alignment vertical="center"/>
    </xf>
    <xf numFmtId="0" fontId="0" fillId="16" borderId="16" xfId="0" applyFill="1" applyBorder="1" applyAlignment="1" applyProtection="1">
      <alignment horizontal="center"/>
    </xf>
    <xf numFmtId="1" fontId="0" fillId="16" borderId="16" xfId="0" applyNumberFormat="1" applyFill="1" applyBorder="1" applyAlignment="1" applyProtection="1">
      <alignment horizontal="center" vertical="center"/>
    </xf>
    <xf numFmtId="0" fontId="0" fillId="21" borderId="17" xfId="0" quotePrefix="1" applyFill="1" applyBorder="1" applyAlignment="1" applyProtection="1">
      <alignment horizontal="center" vertical="center"/>
    </xf>
    <xf numFmtId="0" fontId="0" fillId="21" borderId="46" xfId="0" quotePrefix="1" applyFill="1" applyBorder="1" applyAlignment="1" applyProtection="1">
      <alignment horizontal="center" vertical="center"/>
    </xf>
    <xf numFmtId="0" fontId="0" fillId="21" borderId="17" xfId="0" applyFill="1" applyBorder="1" applyAlignment="1" applyProtection="1">
      <alignment horizontal="center" vertical="center"/>
    </xf>
    <xf numFmtId="0" fontId="0" fillId="21" borderId="46" xfId="0" applyFill="1" applyBorder="1" applyAlignment="1" applyProtection="1">
      <alignment horizontal="center" vertical="center"/>
    </xf>
    <xf numFmtId="0" fontId="0" fillId="18" borderId="16" xfId="0" quotePrefix="1" applyFill="1" applyBorder="1" applyAlignment="1" applyProtection="1">
      <alignment horizontal="center"/>
    </xf>
    <xf numFmtId="0" fontId="0" fillId="21" borderId="17" xfId="0" applyFill="1" applyBorder="1" applyAlignment="1" applyProtection="1">
      <alignment horizontal="center"/>
    </xf>
    <xf numFmtId="0" fontId="0" fillId="21" borderId="18" xfId="0" applyFill="1" applyBorder="1" applyAlignment="1" applyProtection="1">
      <alignment horizontal="center"/>
    </xf>
    <xf numFmtId="0" fontId="0" fillId="21" borderId="17" xfId="0" quotePrefix="1" applyFill="1" applyBorder="1" applyAlignment="1" applyProtection="1">
      <alignment horizontal="left" vertical="top" wrapText="1"/>
    </xf>
    <xf numFmtId="0" fontId="0" fillId="21" borderId="18" xfId="0" quotePrefix="1" applyFill="1" applyBorder="1" applyAlignment="1" applyProtection="1">
      <alignment horizontal="left" vertical="top" wrapText="1"/>
    </xf>
    <xf numFmtId="0" fontId="0" fillId="21" borderId="17" xfId="0" applyFill="1" applyBorder="1" applyAlignment="1" applyProtection="1">
      <alignment horizontal="left" vertical="top" wrapText="1"/>
    </xf>
    <xf numFmtId="0" fontId="0" fillId="21" borderId="18" xfId="0" applyFill="1" applyBorder="1" applyAlignment="1" applyProtection="1">
      <alignment horizontal="left" vertical="top" wrapText="1"/>
    </xf>
    <xf numFmtId="0" fontId="0" fillId="21" borderId="17" xfId="0" applyFill="1" applyBorder="1" applyAlignment="1" applyProtection="1">
      <alignment horizontal="left" vertical="center"/>
    </xf>
    <xf numFmtId="0" fontId="0" fillId="21" borderId="18" xfId="0" applyFill="1" applyBorder="1" applyAlignment="1" applyProtection="1">
      <alignment horizontal="left" vertical="center"/>
    </xf>
    <xf numFmtId="0" fontId="0" fillId="21" borderId="17" xfId="0" quotePrefix="1" applyFill="1" applyBorder="1" applyAlignment="1" applyProtection="1">
      <alignment horizontal="left" vertical="center"/>
    </xf>
    <xf numFmtId="0" fontId="0" fillId="21" borderId="18" xfId="0" quotePrefix="1" applyFill="1" applyBorder="1" applyAlignment="1" applyProtection="1">
      <alignment horizontal="left" vertical="center"/>
    </xf>
    <xf numFmtId="0" fontId="0" fillId="21" borderId="19" xfId="0" applyFill="1" applyBorder="1" applyAlignment="1" applyProtection="1">
      <alignment horizontal="center"/>
    </xf>
    <xf numFmtId="0" fontId="0" fillId="8" borderId="17" xfId="0" applyFill="1" applyBorder="1" applyAlignment="1" applyProtection="1">
      <alignment horizontal="center"/>
    </xf>
    <xf numFmtId="0" fontId="0" fillId="8" borderId="18" xfId="0" applyFill="1" applyBorder="1" applyAlignment="1" applyProtection="1">
      <alignment horizontal="center"/>
    </xf>
    <xf numFmtId="0" fontId="0" fillId="8" borderId="17" xfId="0" applyFill="1" applyBorder="1" applyAlignment="1" applyProtection="1">
      <alignment horizontal="left"/>
    </xf>
    <xf numFmtId="0" fontId="0" fillId="8" borderId="18" xfId="0" applyFill="1" applyBorder="1" applyAlignment="1" applyProtection="1">
      <alignment horizontal="left"/>
    </xf>
    <xf numFmtId="0" fontId="0" fillId="21" borderId="30" xfId="0" quotePrefix="1" applyFill="1" applyBorder="1" applyAlignment="1" applyProtection="1">
      <alignment horizontal="center" vertical="center"/>
    </xf>
    <xf numFmtId="0" fontId="0" fillId="21" borderId="67" xfId="0" quotePrefix="1" applyFill="1" applyBorder="1" applyAlignment="1" applyProtection="1">
      <alignment horizontal="center" vertical="center"/>
    </xf>
    <xf numFmtId="0" fontId="0" fillId="21" borderId="52" xfId="0" quotePrefix="1" applyFill="1" applyBorder="1" applyAlignment="1" applyProtection="1">
      <alignment horizontal="center" vertical="center"/>
    </xf>
    <xf numFmtId="0" fontId="0" fillId="21" borderId="66" xfId="0" quotePrefix="1" applyFill="1" applyBorder="1" applyAlignment="1" applyProtection="1">
      <alignment horizontal="center" vertical="center"/>
    </xf>
    <xf numFmtId="0" fontId="0" fillId="21" borderId="16" xfId="0" applyFill="1" applyBorder="1" applyAlignment="1" applyProtection="1">
      <alignment horizontal="center" vertical="center"/>
    </xf>
    <xf numFmtId="0" fontId="3" fillId="12" borderId="0" xfId="0" applyFont="1" applyFill="1" applyBorder="1" applyAlignment="1" applyProtection="1">
      <alignment horizontal="left" vertical="center"/>
    </xf>
    <xf numFmtId="0" fontId="3" fillId="12" borderId="10" xfId="0" applyFont="1" applyFill="1" applyBorder="1" applyAlignment="1" applyProtection="1">
      <alignment horizontal="left" vertical="center"/>
    </xf>
    <xf numFmtId="0" fontId="0" fillId="21" borderId="19" xfId="0" applyFill="1" applyBorder="1" applyAlignment="1" applyProtection="1">
      <alignment horizontal="left" vertical="center"/>
    </xf>
    <xf numFmtId="0" fontId="0" fillId="21" borderId="42" xfId="0" applyFill="1" applyBorder="1" applyAlignment="1" applyProtection="1">
      <alignment horizontal="center" vertical="center"/>
    </xf>
    <xf numFmtId="0" fontId="0" fillId="21" borderId="40" xfId="0" applyFill="1" applyBorder="1" applyAlignment="1" applyProtection="1">
      <alignment horizontal="center" vertical="center"/>
    </xf>
    <xf numFmtId="0" fontId="0" fillId="21" borderId="47" xfId="0" applyFill="1" applyBorder="1" applyAlignment="1" applyProtection="1">
      <alignment horizontal="center" vertical="center"/>
    </xf>
    <xf numFmtId="0" fontId="1" fillId="0" borderId="48"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4" fillId="26" borderId="52" xfId="0" applyFont="1" applyFill="1" applyBorder="1" applyAlignment="1" applyProtection="1">
      <alignment horizontal="center" vertical="center" wrapText="1"/>
      <protection locked="0"/>
    </xf>
    <xf numFmtId="0" fontId="4" fillId="26" borderId="66" xfId="0" applyFont="1" applyFill="1" applyBorder="1" applyAlignment="1" applyProtection="1">
      <alignment horizontal="center" vertical="center" wrapText="1"/>
      <protection locked="0"/>
    </xf>
    <xf numFmtId="0" fontId="4" fillId="15" borderId="5" xfId="0" applyFont="1" applyFill="1" applyBorder="1" applyAlignment="1" applyProtection="1">
      <alignment horizontal="right" vertical="center"/>
    </xf>
    <xf numFmtId="0" fontId="4" fillId="15" borderId="0" xfId="0" applyFont="1" applyFill="1" applyBorder="1" applyAlignment="1" applyProtection="1">
      <alignment horizontal="right" vertical="center"/>
    </xf>
    <xf numFmtId="0" fontId="4" fillId="8" borderId="5" xfId="0"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10" xfId="0" applyFont="1" applyFill="1" applyBorder="1" applyAlignment="1">
      <alignment horizontal="left" vertical="top" wrapText="1"/>
    </xf>
    <xf numFmtId="0" fontId="0" fillId="0" borderId="0" xfId="0" applyAlignment="1">
      <alignment horizontal="center" vertical="center"/>
    </xf>
  </cellXfs>
  <cellStyles count="2">
    <cellStyle name="Link" xfId="1" builtinId="8"/>
    <cellStyle name="Standard" xfId="0" builtinId="0"/>
  </cellStyles>
  <dxfs count="175">
    <dxf>
      <fill>
        <patternFill>
          <bgColor rgb="FF92D05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8" tint="0.79998168889431442"/>
      </font>
    </dxf>
    <dxf>
      <font>
        <color theme="4"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3" tint="0.79998168889431442"/>
      </font>
    </dxf>
    <dxf>
      <font>
        <color theme="3" tint="0.79998168889431442"/>
      </font>
    </dxf>
    <dxf>
      <font>
        <color theme="3" tint="0.79998168889431442"/>
      </font>
    </dxf>
    <dxf>
      <font>
        <color theme="3" tint="0.79998168889431442"/>
      </font>
    </dxf>
    <dxf>
      <font>
        <color theme="5" tint="0.59996337778862885"/>
      </font>
    </dxf>
    <dxf>
      <font>
        <color theme="5" tint="0.59996337778862885"/>
      </font>
    </dxf>
    <dxf>
      <font>
        <color theme="3" tint="0.79998168889431442"/>
      </font>
    </dxf>
    <dxf>
      <font>
        <b/>
        <i val="0"/>
        <color rgb="FFFF0000"/>
      </font>
    </dxf>
    <dxf>
      <font>
        <color theme="0" tint="-0.14996795556505021"/>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font>
        <b/>
        <i val="0"/>
        <color rgb="FFFF0000"/>
      </font>
    </dxf>
    <dxf>
      <font>
        <b/>
        <i val="0"/>
        <color auto="1"/>
      </font>
    </dxf>
    <dxf>
      <font>
        <b/>
        <i val="0"/>
        <color rgb="FFFF0000"/>
      </font>
    </dxf>
    <dxf>
      <font>
        <color theme="5" tint="0.79998168889431442"/>
      </font>
    </dxf>
    <dxf>
      <font>
        <color theme="5" tint="0.79998168889431442"/>
      </font>
    </dxf>
    <dxf>
      <font>
        <color theme="5" tint="0.79998168889431442"/>
      </font>
    </dxf>
    <dxf>
      <font>
        <b/>
        <i val="0"/>
        <color auto="1"/>
      </font>
    </dxf>
    <dxf>
      <font>
        <b/>
        <i/>
      </font>
    </dxf>
    <dxf>
      <font>
        <b/>
        <i/>
      </font>
    </dxf>
    <dxf>
      <numFmt numFmtId="2" formatCode="0.00"/>
    </dxf>
    <dxf>
      <numFmt numFmtId="165" formatCode="0.000"/>
    </dxf>
    <dxf>
      <font>
        <color theme="8" tint="0.79998168889431442"/>
      </font>
    </dxf>
    <dxf>
      <font>
        <b/>
        <i/>
      </font>
    </dxf>
    <dxf>
      <font>
        <b/>
        <i/>
      </font>
    </dxf>
    <dxf>
      <numFmt numFmtId="2" formatCode="0.00"/>
    </dxf>
    <dxf>
      <numFmt numFmtId="165" formatCode="0.000"/>
    </dxf>
    <dxf>
      <font>
        <color theme="8" tint="0.79998168889431442"/>
      </font>
    </dxf>
    <dxf>
      <font>
        <b/>
        <i/>
      </font>
    </dxf>
    <dxf>
      <font>
        <b/>
        <i/>
      </font>
    </dxf>
    <dxf>
      <numFmt numFmtId="2" formatCode="0.00"/>
    </dxf>
    <dxf>
      <numFmt numFmtId="165" formatCode="0.000"/>
    </dxf>
    <dxf>
      <font>
        <color theme="8" tint="0.79998168889431442"/>
      </font>
    </dxf>
    <dxf>
      <font>
        <b/>
        <i/>
      </font>
    </dxf>
    <dxf>
      <font>
        <b/>
        <i/>
      </font>
    </dxf>
    <dxf>
      <numFmt numFmtId="2" formatCode="0.00"/>
    </dxf>
    <dxf>
      <numFmt numFmtId="165" formatCode="0.000"/>
    </dxf>
    <dxf>
      <font>
        <color theme="8" tint="0.79998168889431442"/>
      </font>
    </dxf>
    <dxf>
      <font>
        <b/>
        <i/>
      </font>
    </dxf>
    <dxf>
      <font>
        <b/>
        <i/>
      </font>
    </dxf>
    <dxf>
      <numFmt numFmtId="2" formatCode="0.00"/>
    </dxf>
    <dxf>
      <numFmt numFmtId="165" formatCode="0.000"/>
    </dxf>
    <dxf>
      <font>
        <color theme="8" tint="0.79998168889431442"/>
      </font>
    </dxf>
    <dxf>
      <font>
        <b/>
        <i/>
      </font>
    </dxf>
    <dxf>
      <font>
        <b/>
        <i/>
      </font>
    </dxf>
    <dxf>
      <numFmt numFmtId="2" formatCode="0.00"/>
    </dxf>
    <dxf>
      <numFmt numFmtId="165" formatCode="0.000"/>
    </dxf>
    <dxf>
      <font>
        <color theme="8" tint="0.79998168889431442"/>
      </font>
    </dxf>
    <dxf>
      <font>
        <b/>
        <i/>
      </font>
    </dxf>
    <dxf>
      <font>
        <b/>
        <i/>
      </font>
    </dxf>
    <dxf>
      <numFmt numFmtId="2" formatCode="0.00"/>
    </dxf>
    <dxf>
      <numFmt numFmtId="165" formatCode="0.000"/>
    </dxf>
    <dxf>
      <font>
        <color theme="8" tint="0.79998168889431442"/>
      </font>
    </dxf>
    <dxf>
      <font>
        <b/>
        <i/>
      </font>
    </dxf>
    <dxf>
      <font>
        <b/>
        <i/>
      </font>
    </dxf>
    <dxf>
      <numFmt numFmtId="2" formatCode="0.00"/>
    </dxf>
    <dxf>
      <numFmt numFmtId="165" formatCode="0.000"/>
    </dxf>
    <dxf>
      <font>
        <color theme="8" tint="0.79998168889431442"/>
      </font>
    </dxf>
    <dxf>
      <font>
        <b/>
        <i/>
      </font>
    </dxf>
    <dxf>
      <font>
        <b/>
        <i/>
      </font>
    </dxf>
    <dxf>
      <numFmt numFmtId="2" formatCode="0.00"/>
    </dxf>
    <dxf>
      <numFmt numFmtId="165" formatCode="0.000"/>
    </dxf>
    <dxf>
      <font>
        <color theme="8" tint="0.79998168889431442"/>
      </font>
    </dxf>
    <dxf>
      <font>
        <b/>
        <i/>
      </font>
    </dxf>
    <dxf>
      <font>
        <b/>
        <i/>
      </font>
    </dxf>
    <dxf>
      <numFmt numFmtId="2" formatCode="0.00"/>
    </dxf>
    <dxf>
      <numFmt numFmtId="165" formatCode="0.000"/>
    </dxf>
    <dxf>
      <font>
        <color theme="8" tint="0.79998168889431442"/>
      </font>
    </dxf>
    <dxf>
      <font>
        <color theme="8" tint="0.79998168889431442"/>
      </font>
      <fill>
        <patternFill>
          <bgColor theme="8" tint="0.79998168889431442"/>
        </patternFill>
      </fill>
    </dxf>
    <dxf>
      <font>
        <color theme="8" tint="0.79998168889431442"/>
      </font>
      <fill>
        <patternFill>
          <bgColor theme="8" tint="0.79998168889431442"/>
        </patternFill>
      </fill>
    </dxf>
    <dxf>
      <font>
        <color theme="3" tint="0.79998168889431442"/>
      </font>
    </dxf>
    <dxf>
      <font>
        <color theme="3" tint="0.79998168889431442"/>
      </font>
    </dxf>
    <dxf>
      <font>
        <color theme="3" tint="0.79998168889431442"/>
      </font>
    </dxf>
    <dxf>
      <font>
        <color theme="3" tint="0.79998168889431442"/>
      </font>
    </dxf>
    <dxf>
      <numFmt numFmtId="164" formatCode="0.0"/>
    </dxf>
    <dxf>
      <numFmt numFmtId="2" formatCode="0.00"/>
    </dxf>
    <dxf>
      <numFmt numFmtId="165" formatCode="0.000"/>
    </dxf>
    <dxf>
      <numFmt numFmtId="166" formatCode="0.0000"/>
    </dxf>
    <dxf>
      <font>
        <color theme="4" tint="0.59996337778862885"/>
      </font>
    </dxf>
    <dxf>
      <fill>
        <patternFill>
          <bgColor rgb="FF92D050"/>
        </patternFill>
      </fill>
    </dxf>
    <dxf>
      <fill>
        <patternFill>
          <bgColor theme="5" tint="0.59996337778862885"/>
        </patternFill>
      </fill>
    </dxf>
    <dxf>
      <fill>
        <patternFill>
          <bgColor rgb="FFFF0000"/>
        </patternFill>
      </fill>
    </dxf>
    <dxf>
      <font>
        <color theme="8" tint="0.79998168889431442"/>
      </font>
    </dxf>
    <dxf>
      <fill>
        <patternFill>
          <bgColor rgb="FF92D050"/>
        </patternFill>
      </fill>
    </dxf>
    <dxf>
      <fill>
        <patternFill>
          <bgColor theme="5" tint="0.59996337778862885"/>
        </patternFill>
      </fill>
    </dxf>
    <dxf>
      <fill>
        <patternFill>
          <bgColor rgb="FFFF0000"/>
        </patternFill>
      </fill>
    </dxf>
    <dxf>
      <font>
        <color theme="8" tint="0.79998168889431442"/>
      </font>
    </dxf>
    <dxf>
      <fill>
        <patternFill>
          <bgColor rgb="FF92D050"/>
        </patternFill>
      </fill>
    </dxf>
    <dxf>
      <fill>
        <patternFill>
          <bgColor theme="5" tint="0.59996337778862885"/>
        </patternFill>
      </fill>
    </dxf>
    <dxf>
      <fill>
        <patternFill>
          <bgColor rgb="FFFF0000"/>
        </patternFill>
      </fill>
    </dxf>
    <dxf>
      <font>
        <color theme="8" tint="0.79998168889431442"/>
      </font>
    </dxf>
    <dxf>
      <fill>
        <patternFill>
          <bgColor rgb="FF92D050"/>
        </patternFill>
      </fill>
    </dxf>
    <dxf>
      <fill>
        <patternFill>
          <bgColor theme="5" tint="0.59996337778862885"/>
        </patternFill>
      </fill>
    </dxf>
    <dxf>
      <fill>
        <patternFill>
          <bgColor rgb="FFFF0000"/>
        </patternFill>
      </fill>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numFmt numFmtId="2" formatCode="0.00"/>
    </dxf>
    <dxf>
      <numFmt numFmtId="165" formatCode="0.000"/>
    </dxf>
    <dxf>
      <font>
        <color theme="8" tint="0.79998168889431442"/>
      </font>
    </dxf>
    <dxf>
      <font>
        <b/>
        <i val="0"/>
        <color rgb="FFFF0000"/>
      </font>
    </dxf>
    <dxf>
      <font>
        <b/>
        <i val="0"/>
        <color rgb="FFFF0000"/>
      </font>
    </dxf>
    <dxf>
      <font>
        <b/>
        <i val="0"/>
        <color rgb="FFFF0000"/>
      </font>
    </dxf>
    <dxf>
      <fill>
        <patternFill>
          <bgColor rgb="FF92D050"/>
        </patternFill>
      </fill>
    </dxf>
    <dxf>
      <fill>
        <patternFill>
          <bgColor rgb="FFFF0000"/>
        </patternFill>
      </fill>
    </dxf>
    <dxf>
      <font>
        <color theme="8" tint="0.79998168889431442"/>
      </font>
    </dxf>
    <dxf>
      <fill>
        <patternFill>
          <bgColor rgb="FF92D050"/>
        </patternFill>
      </fill>
    </dxf>
    <dxf>
      <fill>
        <patternFill>
          <bgColor theme="5" tint="0.59996337778862885"/>
        </patternFill>
      </fill>
    </dxf>
    <dxf>
      <fill>
        <patternFill>
          <bgColor rgb="FFFF0000"/>
        </patternFill>
      </fill>
    </dxf>
    <dxf>
      <font>
        <color theme="8" tint="0.79998168889431442"/>
      </font>
    </dxf>
    <dxf>
      <font>
        <b/>
        <i val="0"/>
        <color rgb="FFFF0000"/>
      </font>
    </dxf>
    <dxf>
      <font>
        <b/>
        <i val="0"/>
        <color rgb="FFFF0000"/>
      </font>
    </dxf>
    <dxf>
      <font>
        <b/>
        <i val="0"/>
        <color rgb="FFFF0000"/>
      </font>
    </dxf>
    <dxf>
      <font>
        <color theme="0" tint="-0.14996795556505021"/>
      </font>
    </dxf>
    <dxf>
      <font>
        <b/>
        <i val="0"/>
        <color rgb="FFFF0000"/>
      </font>
    </dxf>
    <dxf>
      <font>
        <b/>
        <i val="0"/>
        <color theme="0" tint="-0.14996795556505021"/>
      </font>
    </dxf>
    <dxf>
      <font>
        <color theme="3" tint="0.79998168889431442"/>
      </font>
    </dxf>
    <dxf>
      <font>
        <color theme="3" tint="0.79998168889431442"/>
      </font>
    </dxf>
    <dxf>
      <font>
        <b/>
        <i val="0"/>
        <color rgb="FFFF0000"/>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Gewaesserbelastung!$I$46</c:f>
          <c:strCache>
            <c:ptCount val="1"/>
            <c:pt idx="0">
              <c:v>Abweichung von der zulässigen Belastung
unterhalb Grün: voraussichtlich tragbar
über Rot: nicht tragbar
Balkenüberschrift: Überschreitungsfaktor</c:v>
            </c:pt>
          </c:strCache>
        </c:strRef>
      </c:tx>
      <c:layout>
        <c:manualLayout>
          <c:xMode val="edge"/>
          <c:yMode val="edge"/>
          <c:x val="0.15174701846479716"/>
          <c:y val="2.6810651358089674E-2"/>
        </c:manualLayout>
      </c:layout>
      <c:overlay val="0"/>
      <c:txPr>
        <a:bodyPr/>
        <a:lstStyle/>
        <a:p>
          <a:pPr>
            <a:defRPr sz="1000">
              <a:latin typeface="Arial" panose="020B0604020202020204" pitchFamily="34" charset="0"/>
              <a:cs typeface="Arial" panose="020B0604020202020204" pitchFamily="34" charset="0"/>
            </a:defRPr>
          </a:pPr>
          <a:endParaRPr lang="de-DE"/>
        </a:p>
      </c:txPr>
    </c:title>
    <c:autoTitleDeleted val="0"/>
    <c:plotArea>
      <c:layout>
        <c:manualLayout>
          <c:layoutTarget val="inner"/>
          <c:xMode val="edge"/>
          <c:yMode val="edge"/>
          <c:x val="3.7320815814782658E-2"/>
          <c:y val="0.26155626780626778"/>
          <c:w val="0.93581327498176514"/>
          <c:h val="0.58707861390370497"/>
        </c:manualLayout>
      </c:layout>
      <c:barChart>
        <c:barDir val="col"/>
        <c:grouping val="clustered"/>
        <c:varyColors val="0"/>
        <c:ser>
          <c:idx val="0"/>
          <c:order val="0"/>
          <c:tx>
            <c:strRef>
              <c:f>Gewaesserbelastung!$A$47:$A$54</c:f>
              <c:strCache>
                <c:ptCount val="8"/>
                <c:pt idx="1">
                  <c:v>DOC</c:v>
                </c:pt>
                <c:pt idx="2">
                  <c:v>NH4-N</c:v>
                </c:pt>
                <c:pt idx="3">
                  <c:v>NO3-N</c:v>
                </c:pt>
                <c:pt idx="4">
                  <c:v>P gelöst</c:v>
                </c:pt>
                <c:pt idx="5">
                  <c:v>P tot.</c:v>
                </c:pt>
                <c:pt idx="7">
                  <c:v>GUS</c:v>
                </c:pt>
              </c:strCache>
            </c:strRef>
          </c:tx>
          <c:spPr>
            <a:solidFill>
              <a:schemeClr val="bg2">
                <a:lumMod val="75000"/>
              </a:schemeClr>
            </a:solidFill>
            <a:ln>
              <a:solidFill>
                <a:schemeClr val="tx1"/>
              </a:solidFill>
            </a:ln>
          </c:spPr>
          <c:invertIfNegative val="0"/>
          <c:dPt>
            <c:idx val="6"/>
            <c:invertIfNegative val="0"/>
            <c:bubble3D val="0"/>
            <c:spPr>
              <a:solidFill>
                <a:schemeClr val="accent2">
                  <a:lumMod val="40000"/>
                  <a:lumOff val="60000"/>
                </a:schemeClr>
              </a:solidFill>
              <a:ln>
                <a:solidFill>
                  <a:schemeClr val="tx1"/>
                </a:solidFill>
              </a:ln>
            </c:spPr>
            <c:extLst>
              <c:ext xmlns:c16="http://schemas.microsoft.com/office/drawing/2014/chart" uri="{C3380CC4-5D6E-409C-BE32-E72D297353CC}">
                <c16:uniqueId val="{00000001-27B5-4529-92CD-EA59C883427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Gewaesserbelastung!$A$47:$A$55</c:f>
              <c:strCache>
                <c:ptCount val="8"/>
                <c:pt idx="1">
                  <c:v>DOC</c:v>
                </c:pt>
                <c:pt idx="2">
                  <c:v>NH4-N</c:v>
                </c:pt>
                <c:pt idx="3">
                  <c:v>NO3-N</c:v>
                </c:pt>
                <c:pt idx="4">
                  <c:v>P gelöst</c:v>
                </c:pt>
                <c:pt idx="5">
                  <c:v>P tot.</c:v>
                </c:pt>
                <c:pt idx="7">
                  <c:v>GUS</c:v>
                </c:pt>
              </c:strCache>
            </c:strRef>
          </c:cat>
          <c:val>
            <c:numRef>
              <c:f>Gewaesserbelastung!$G$47:$G$55</c:f>
              <c:numCache>
                <c:formatCode>0.0</c:formatCode>
                <c:ptCount val="9"/>
                <c:pt idx="1">
                  <c:v>0</c:v>
                </c:pt>
                <c:pt idx="2">
                  <c:v>0</c:v>
                </c:pt>
                <c:pt idx="3">
                  <c:v>0</c:v>
                </c:pt>
                <c:pt idx="4">
                  <c:v>0</c:v>
                </c:pt>
                <c:pt idx="5">
                  <c:v>0</c:v>
                </c:pt>
                <c:pt idx="7">
                  <c:v>0</c:v>
                </c:pt>
              </c:numCache>
            </c:numRef>
          </c:val>
          <c:extLst>
            <c:ext xmlns:c16="http://schemas.microsoft.com/office/drawing/2014/chart" uri="{C3380CC4-5D6E-409C-BE32-E72D297353CC}">
              <c16:uniqueId val="{00000002-27B5-4529-92CD-EA59C8834275}"/>
            </c:ext>
          </c:extLst>
        </c:ser>
        <c:dLbls>
          <c:showLegendKey val="0"/>
          <c:showVal val="0"/>
          <c:showCatName val="0"/>
          <c:showSerName val="0"/>
          <c:showPercent val="0"/>
          <c:showBubbleSize val="0"/>
        </c:dLbls>
        <c:gapWidth val="150"/>
        <c:axId val="248403072"/>
        <c:axId val="248404608"/>
      </c:barChart>
      <c:lineChart>
        <c:grouping val="standard"/>
        <c:varyColors val="0"/>
        <c:ser>
          <c:idx val="1"/>
          <c:order val="1"/>
          <c:tx>
            <c:strRef>
              <c:f>Gewaesserbelastung!$G$28</c:f>
              <c:strCache>
                <c:ptCount val="1"/>
                <c:pt idx="0">
                  <c:v>voraussichtlich tragbar</c:v>
                </c:pt>
              </c:strCache>
            </c:strRef>
          </c:tx>
          <c:spPr>
            <a:ln>
              <a:solidFill>
                <a:srgbClr val="00B050"/>
              </a:solidFill>
            </a:ln>
          </c:spPr>
          <c:marker>
            <c:symbol val="none"/>
          </c:marker>
          <c:val>
            <c:numRef>
              <c:f>Gewaesserbelastung!$E$47:$E$55</c:f>
              <c:numCache>
                <c:formatCode>General</c:formatCode>
                <c:ptCount val="9"/>
                <c:pt idx="0">
                  <c:v>1</c:v>
                </c:pt>
                <c:pt idx="1">
                  <c:v>1</c:v>
                </c:pt>
                <c:pt idx="2">
                  <c:v>1</c:v>
                </c:pt>
                <c:pt idx="3">
                  <c:v>1</c:v>
                </c:pt>
                <c:pt idx="4">
                  <c:v>1</c:v>
                </c:pt>
                <c:pt idx="5">
                  <c:v>1</c:v>
                </c:pt>
                <c:pt idx="6">
                  <c:v>1</c:v>
                </c:pt>
              </c:numCache>
            </c:numRef>
          </c:val>
          <c:smooth val="0"/>
          <c:extLst>
            <c:ext xmlns:c16="http://schemas.microsoft.com/office/drawing/2014/chart" uri="{C3380CC4-5D6E-409C-BE32-E72D297353CC}">
              <c16:uniqueId val="{00000003-27B5-4529-92CD-EA59C8834275}"/>
            </c:ext>
          </c:extLst>
        </c:ser>
        <c:ser>
          <c:idx val="2"/>
          <c:order val="2"/>
          <c:tx>
            <c:strRef>
              <c:f>Gewaesserbelastung!$G$29</c:f>
              <c:strCache>
                <c:ptCount val="1"/>
                <c:pt idx="0">
                  <c:v>kritisch</c:v>
                </c:pt>
              </c:strCache>
            </c:strRef>
          </c:tx>
          <c:spPr>
            <a:ln>
              <a:solidFill>
                <a:srgbClr val="FF0000"/>
              </a:solidFill>
            </a:ln>
          </c:spPr>
          <c:marker>
            <c:symbol val="none"/>
          </c:marker>
          <c:val>
            <c:numRef>
              <c:f>Gewaesserbelastung!$F$47:$F$55</c:f>
              <c:numCache>
                <c:formatCode>General</c:formatCode>
                <c:ptCount val="9"/>
                <c:pt idx="0">
                  <c:v>2</c:v>
                </c:pt>
                <c:pt idx="1">
                  <c:v>2</c:v>
                </c:pt>
                <c:pt idx="2">
                  <c:v>2</c:v>
                </c:pt>
                <c:pt idx="3">
                  <c:v>2</c:v>
                </c:pt>
                <c:pt idx="4">
                  <c:v>2</c:v>
                </c:pt>
                <c:pt idx="5">
                  <c:v>2</c:v>
                </c:pt>
              </c:numCache>
            </c:numRef>
          </c:val>
          <c:smooth val="0"/>
          <c:extLst>
            <c:ext xmlns:c16="http://schemas.microsoft.com/office/drawing/2014/chart" uri="{C3380CC4-5D6E-409C-BE32-E72D297353CC}">
              <c16:uniqueId val="{00000004-27B5-4529-92CD-EA59C8834275}"/>
            </c:ext>
          </c:extLst>
        </c:ser>
        <c:ser>
          <c:idx val="3"/>
          <c:order val="3"/>
          <c:tx>
            <c:strRef>
              <c:f>Gewaesserbelastung!$G$28</c:f>
              <c:strCache>
                <c:ptCount val="1"/>
                <c:pt idx="0">
                  <c:v>voraussichtlich tragbar</c:v>
                </c:pt>
              </c:strCache>
            </c:strRef>
          </c:tx>
          <c:spPr>
            <a:ln>
              <a:solidFill>
                <a:srgbClr val="FF0000"/>
              </a:solidFill>
            </a:ln>
          </c:spPr>
          <c:marker>
            <c:symbol val="none"/>
          </c:marker>
          <c:val>
            <c:numRef>
              <c:f>Gewaesserbelastung!$H$47:$H$55</c:f>
              <c:numCache>
                <c:formatCode>General</c:formatCode>
                <c:ptCount val="9"/>
                <c:pt idx="6">
                  <c:v>1</c:v>
                </c:pt>
                <c:pt idx="7">
                  <c:v>1</c:v>
                </c:pt>
                <c:pt idx="8">
                  <c:v>1</c:v>
                </c:pt>
              </c:numCache>
            </c:numRef>
          </c:val>
          <c:smooth val="0"/>
          <c:extLst>
            <c:ext xmlns:c16="http://schemas.microsoft.com/office/drawing/2014/chart" uri="{C3380CC4-5D6E-409C-BE32-E72D297353CC}">
              <c16:uniqueId val="{00000005-27B5-4529-92CD-EA59C8834275}"/>
            </c:ext>
          </c:extLst>
        </c:ser>
        <c:dLbls>
          <c:showLegendKey val="0"/>
          <c:showVal val="0"/>
          <c:showCatName val="0"/>
          <c:showSerName val="0"/>
          <c:showPercent val="0"/>
          <c:showBubbleSize val="0"/>
        </c:dLbls>
        <c:marker val="1"/>
        <c:smooth val="0"/>
        <c:axId val="248403072"/>
        <c:axId val="248404608"/>
      </c:lineChart>
      <c:catAx>
        <c:axId val="248403072"/>
        <c:scaling>
          <c:orientation val="minMax"/>
        </c:scaling>
        <c:delete val="0"/>
        <c:axPos val="b"/>
        <c:numFmt formatCode="General" sourceLinked="0"/>
        <c:majorTickMark val="out"/>
        <c:minorTickMark val="none"/>
        <c:tickLblPos val="nextTo"/>
        <c:txPr>
          <a:bodyPr rot="-2100000"/>
          <a:lstStyle/>
          <a:p>
            <a:pPr>
              <a:defRPr/>
            </a:pPr>
            <a:endParaRPr lang="de-DE"/>
          </a:p>
        </c:txPr>
        <c:crossAx val="248404608"/>
        <c:crossesAt val="0"/>
        <c:auto val="1"/>
        <c:lblAlgn val="ctr"/>
        <c:lblOffset val="100"/>
        <c:noMultiLvlLbl val="0"/>
      </c:catAx>
      <c:valAx>
        <c:axId val="248404608"/>
        <c:scaling>
          <c:orientation val="minMax"/>
          <c:min val="0"/>
        </c:scaling>
        <c:delete val="0"/>
        <c:axPos val="l"/>
        <c:majorGridlines/>
        <c:numFmt formatCode="General" sourceLinked="1"/>
        <c:majorTickMark val="none"/>
        <c:minorTickMark val="none"/>
        <c:tickLblPos val="none"/>
        <c:crossAx val="248403072"/>
        <c:crosses val="autoZero"/>
        <c:crossBetween val="between"/>
      </c:valAx>
      <c:spPr>
        <a:noFill/>
        <a:ln>
          <a:solidFill>
            <a:schemeClr val="tx1"/>
          </a:solidFill>
          <a:miter lim="800000"/>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1"/>
            <c:dispEq val="1"/>
            <c:trendlineLbl>
              <c:layout>
                <c:manualLayout>
                  <c:x val="5.1037689316404421E-2"/>
                  <c:y val="-0.27589442986293378"/>
                </c:manualLayout>
              </c:layout>
              <c:numFmt formatCode="General" sourceLinked="0"/>
            </c:trendlineLbl>
          </c:trendline>
          <c:xVal>
            <c:numRef>
              <c:f>Grundlagen!$E$8:$J$8</c:f>
              <c:numCache>
                <c:formatCode>0.0</c:formatCode>
                <c:ptCount val="6"/>
                <c:pt idx="0" formatCode="General">
                  <c:v>23.4</c:v>
                </c:pt>
                <c:pt idx="1">
                  <c:v>20</c:v>
                </c:pt>
                <c:pt idx="2">
                  <c:v>18</c:v>
                </c:pt>
                <c:pt idx="3">
                  <c:v>17</c:v>
                </c:pt>
                <c:pt idx="4">
                  <c:v>16</c:v>
                </c:pt>
                <c:pt idx="5">
                  <c:v>19.399999999999999</c:v>
                </c:pt>
              </c:numCache>
            </c:numRef>
          </c:xVal>
          <c:yVal>
            <c:numRef>
              <c:f>Grundlagen!$E$11:$J$11</c:f>
              <c:numCache>
                <c:formatCode>0.0</c:formatCode>
                <c:ptCount val="6"/>
                <c:pt idx="0">
                  <c:v>1</c:v>
                </c:pt>
                <c:pt idx="1">
                  <c:v>1.2</c:v>
                </c:pt>
                <c:pt idx="2">
                  <c:v>1.3</c:v>
                </c:pt>
                <c:pt idx="3">
                  <c:v>1.7</c:v>
                </c:pt>
                <c:pt idx="4">
                  <c:v>1.4</c:v>
                </c:pt>
                <c:pt idx="5">
                  <c:v>1.2</c:v>
                </c:pt>
              </c:numCache>
            </c:numRef>
          </c:yVal>
          <c:smooth val="0"/>
          <c:extLst>
            <c:ext xmlns:c16="http://schemas.microsoft.com/office/drawing/2014/chart" uri="{C3380CC4-5D6E-409C-BE32-E72D297353CC}">
              <c16:uniqueId val="{00000000-DA55-400F-8AD4-093E08E40D5B}"/>
            </c:ext>
          </c:extLst>
        </c:ser>
        <c:dLbls>
          <c:showLegendKey val="0"/>
          <c:showVal val="0"/>
          <c:showCatName val="0"/>
          <c:showSerName val="0"/>
          <c:showPercent val="0"/>
          <c:showBubbleSize val="0"/>
        </c:dLbls>
        <c:axId val="250051200"/>
        <c:axId val="250052992"/>
      </c:scatterChart>
      <c:valAx>
        <c:axId val="250051200"/>
        <c:scaling>
          <c:orientation val="minMax"/>
          <c:max val="25"/>
          <c:min val="16"/>
        </c:scaling>
        <c:delete val="0"/>
        <c:axPos val="b"/>
        <c:numFmt formatCode="General" sourceLinked="1"/>
        <c:majorTickMark val="out"/>
        <c:minorTickMark val="none"/>
        <c:tickLblPos val="nextTo"/>
        <c:crossAx val="250052992"/>
        <c:crosses val="autoZero"/>
        <c:crossBetween val="midCat"/>
      </c:valAx>
      <c:valAx>
        <c:axId val="250052992"/>
        <c:scaling>
          <c:orientation val="minMax"/>
        </c:scaling>
        <c:delete val="0"/>
        <c:axPos val="l"/>
        <c:majorGridlines/>
        <c:numFmt formatCode="0.0" sourceLinked="1"/>
        <c:majorTickMark val="out"/>
        <c:minorTickMark val="none"/>
        <c:tickLblPos val="nextTo"/>
        <c:crossAx val="250051200"/>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000">
                <a:latin typeface="Arial" panose="020B0604020202020204" pitchFamily="34" charset="0"/>
                <a:cs typeface="Arial" panose="020B0604020202020204" pitchFamily="34" charset="0"/>
              </a:rPr>
              <a:t>Abweichung von der zulässigen Belastung</a:t>
            </a:r>
          </a:p>
          <a:p>
            <a:pPr algn="l">
              <a:defRPr/>
            </a:pPr>
            <a:r>
              <a:rPr lang="en-US" sz="800" b="0">
                <a:latin typeface="Arial" panose="020B0604020202020204" pitchFamily="34" charset="0"/>
                <a:cs typeface="Arial" panose="020B0604020202020204" pitchFamily="34" charset="0"/>
              </a:rPr>
              <a:t>unterhalb</a:t>
            </a:r>
            <a:r>
              <a:rPr lang="en-US" sz="800" b="0" baseline="0">
                <a:latin typeface="Arial" panose="020B0604020202020204" pitchFamily="34" charset="0"/>
                <a:cs typeface="Arial" panose="020B0604020202020204" pitchFamily="34" charset="0"/>
              </a:rPr>
              <a:t> Grün: voraussichtlich tragbar</a:t>
            </a:r>
          </a:p>
          <a:p>
            <a:pPr algn="l">
              <a:defRPr/>
            </a:pPr>
            <a:r>
              <a:rPr lang="en-US" sz="800" b="0" baseline="0">
                <a:latin typeface="Arial" panose="020B0604020202020204" pitchFamily="34" charset="0"/>
                <a:cs typeface="Arial" panose="020B0604020202020204" pitchFamily="34" charset="0"/>
              </a:rPr>
              <a:t>über Rot: nicht tragbar</a:t>
            </a:r>
          </a:p>
          <a:p>
            <a:pPr algn="l">
              <a:defRPr/>
            </a:pPr>
            <a:endParaRPr lang="en-US" sz="1000">
              <a:latin typeface="Arial" panose="020B0604020202020204" pitchFamily="34" charset="0"/>
              <a:cs typeface="Arial" panose="020B0604020202020204" pitchFamily="34" charset="0"/>
            </a:endParaRPr>
          </a:p>
        </c:rich>
      </c:tx>
      <c:overlay val="0"/>
    </c:title>
    <c:autoTitleDeleted val="0"/>
    <c:plotArea>
      <c:layout/>
      <c:barChart>
        <c:barDir val="col"/>
        <c:grouping val="clustered"/>
        <c:varyColors val="0"/>
        <c:ser>
          <c:idx val="0"/>
          <c:order val="0"/>
          <c:tx>
            <c:strRef>
              <c:f>Gewaesserbelastung!$A$47:$A$54</c:f>
              <c:strCache>
                <c:ptCount val="8"/>
                <c:pt idx="1">
                  <c:v>DOC</c:v>
                </c:pt>
                <c:pt idx="2">
                  <c:v>NH4-N</c:v>
                </c:pt>
                <c:pt idx="3">
                  <c:v>NO3-N</c:v>
                </c:pt>
                <c:pt idx="4">
                  <c:v>P gelöst</c:v>
                </c:pt>
                <c:pt idx="5">
                  <c:v>P tot.</c:v>
                </c:pt>
                <c:pt idx="7">
                  <c:v>GUS</c:v>
                </c:pt>
              </c:strCache>
            </c:strRef>
          </c:tx>
          <c:spPr>
            <a:solidFill>
              <a:schemeClr val="bg2">
                <a:lumMod val="75000"/>
              </a:schemeClr>
            </a:solidFill>
            <a:ln>
              <a:solidFill>
                <a:schemeClr val="tx1"/>
              </a:solidFill>
            </a:ln>
          </c:spPr>
          <c:invertIfNegative val="0"/>
          <c:dPt>
            <c:idx val="6"/>
            <c:invertIfNegative val="0"/>
            <c:bubble3D val="0"/>
            <c:spPr>
              <a:solidFill>
                <a:schemeClr val="accent2">
                  <a:lumMod val="40000"/>
                  <a:lumOff val="60000"/>
                </a:schemeClr>
              </a:solidFill>
              <a:ln>
                <a:solidFill>
                  <a:schemeClr val="tx1"/>
                </a:solidFill>
              </a:ln>
            </c:spPr>
            <c:extLst>
              <c:ext xmlns:c16="http://schemas.microsoft.com/office/drawing/2014/chart" uri="{C3380CC4-5D6E-409C-BE32-E72D297353CC}">
                <c16:uniqueId val="{00000001-6EF9-4D16-8F4A-8140FC6A6969}"/>
              </c:ext>
            </c:extLst>
          </c:dPt>
          <c:cat>
            <c:strRef>
              <c:f>Gewaesserbelastung!$A$47:$A$55</c:f>
              <c:strCache>
                <c:ptCount val="8"/>
                <c:pt idx="1">
                  <c:v>DOC</c:v>
                </c:pt>
                <c:pt idx="2">
                  <c:v>NH4-N</c:v>
                </c:pt>
                <c:pt idx="3">
                  <c:v>NO3-N</c:v>
                </c:pt>
                <c:pt idx="4">
                  <c:v>P gelöst</c:v>
                </c:pt>
                <c:pt idx="5">
                  <c:v>P tot.</c:v>
                </c:pt>
                <c:pt idx="7">
                  <c:v>GUS</c:v>
                </c:pt>
              </c:strCache>
            </c:strRef>
          </c:cat>
          <c:val>
            <c:numRef>
              <c:f>Gewaesserbelastung!$G$47:$G$55</c:f>
              <c:numCache>
                <c:formatCode>0.0</c:formatCode>
                <c:ptCount val="9"/>
                <c:pt idx="1">
                  <c:v>0</c:v>
                </c:pt>
                <c:pt idx="2">
                  <c:v>0</c:v>
                </c:pt>
                <c:pt idx="3">
                  <c:v>0</c:v>
                </c:pt>
                <c:pt idx="4">
                  <c:v>0</c:v>
                </c:pt>
                <c:pt idx="5">
                  <c:v>0</c:v>
                </c:pt>
                <c:pt idx="7">
                  <c:v>0</c:v>
                </c:pt>
              </c:numCache>
            </c:numRef>
          </c:val>
          <c:extLst>
            <c:ext xmlns:c16="http://schemas.microsoft.com/office/drawing/2014/chart" uri="{C3380CC4-5D6E-409C-BE32-E72D297353CC}">
              <c16:uniqueId val="{00000002-6EF9-4D16-8F4A-8140FC6A6969}"/>
            </c:ext>
          </c:extLst>
        </c:ser>
        <c:dLbls>
          <c:showLegendKey val="0"/>
          <c:showVal val="0"/>
          <c:showCatName val="0"/>
          <c:showSerName val="0"/>
          <c:showPercent val="0"/>
          <c:showBubbleSize val="0"/>
        </c:dLbls>
        <c:gapWidth val="150"/>
        <c:axId val="249590912"/>
        <c:axId val="249592448"/>
      </c:barChart>
      <c:lineChart>
        <c:grouping val="standard"/>
        <c:varyColors val="0"/>
        <c:ser>
          <c:idx val="1"/>
          <c:order val="1"/>
          <c:tx>
            <c:strRef>
              <c:f>Gewaesserbelastung!$G$28</c:f>
              <c:strCache>
                <c:ptCount val="1"/>
                <c:pt idx="0">
                  <c:v>voraussichtlich tragbar</c:v>
                </c:pt>
              </c:strCache>
            </c:strRef>
          </c:tx>
          <c:spPr>
            <a:ln>
              <a:solidFill>
                <a:srgbClr val="00B050"/>
              </a:solidFill>
            </a:ln>
          </c:spPr>
          <c:marker>
            <c:symbol val="none"/>
          </c:marker>
          <c:val>
            <c:numRef>
              <c:f>Gewaesserbelastung!$E$47:$E$55</c:f>
              <c:numCache>
                <c:formatCode>General</c:formatCode>
                <c:ptCount val="9"/>
                <c:pt idx="0">
                  <c:v>1</c:v>
                </c:pt>
                <c:pt idx="1">
                  <c:v>1</c:v>
                </c:pt>
                <c:pt idx="2">
                  <c:v>1</c:v>
                </c:pt>
                <c:pt idx="3">
                  <c:v>1</c:v>
                </c:pt>
                <c:pt idx="4">
                  <c:v>1</c:v>
                </c:pt>
                <c:pt idx="5">
                  <c:v>1</c:v>
                </c:pt>
                <c:pt idx="6">
                  <c:v>1</c:v>
                </c:pt>
              </c:numCache>
            </c:numRef>
          </c:val>
          <c:smooth val="0"/>
          <c:extLst>
            <c:ext xmlns:c16="http://schemas.microsoft.com/office/drawing/2014/chart" uri="{C3380CC4-5D6E-409C-BE32-E72D297353CC}">
              <c16:uniqueId val="{00000003-6EF9-4D16-8F4A-8140FC6A6969}"/>
            </c:ext>
          </c:extLst>
        </c:ser>
        <c:ser>
          <c:idx val="2"/>
          <c:order val="2"/>
          <c:tx>
            <c:strRef>
              <c:f>Gewaesserbelastung!$G$29</c:f>
              <c:strCache>
                <c:ptCount val="1"/>
                <c:pt idx="0">
                  <c:v>kritisch</c:v>
                </c:pt>
              </c:strCache>
            </c:strRef>
          </c:tx>
          <c:spPr>
            <a:ln>
              <a:solidFill>
                <a:srgbClr val="FF0000"/>
              </a:solidFill>
            </a:ln>
          </c:spPr>
          <c:marker>
            <c:symbol val="none"/>
          </c:marker>
          <c:val>
            <c:numRef>
              <c:f>Gewaesserbelastung!$F$47:$F$55</c:f>
              <c:numCache>
                <c:formatCode>General</c:formatCode>
                <c:ptCount val="9"/>
                <c:pt idx="0">
                  <c:v>2</c:v>
                </c:pt>
                <c:pt idx="1">
                  <c:v>2</c:v>
                </c:pt>
                <c:pt idx="2">
                  <c:v>2</c:v>
                </c:pt>
                <c:pt idx="3">
                  <c:v>2</c:v>
                </c:pt>
                <c:pt idx="4">
                  <c:v>2</c:v>
                </c:pt>
                <c:pt idx="5">
                  <c:v>2</c:v>
                </c:pt>
              </c:numCache>
            </c:numRef>
          </c:val>
          <c:smooth val="0"/>
          <c:extLst>
            <c:ext xmlns:c16="http://schemas.microsoft.com/office/drawing/2014/chart" uri="{C3380CC4-5D6E-409C-BE32-E72D297353CC}">
              <c16:uniqueId val="{00000004-6EF9-4D16-8F4A-8140FC6A6969}"/>
            </c:ext>
          </c:extLst>
        </c:ser>
        <c:ser>
          <c:idx val="3"/>
          <c:order val="3"/>
          <c:tx>
            <c:strRef>
              <c:f>Gewaesserbelastung!$G$28</c:f>
              <c:strCache>
                <c:ptCount val="1"/>
                <c:pt idx="0">
                  <c:v>voraussichtlich tragbar</c:v>
                </c:pt>
              </c:strCache>
            </c:strRef>
          </c:tx>
          <c:spPr>
            <a:ln>
              <a:solidFill>
                <a:srgbClr val="FF0000"/>
              </a:solidFill>
            </a:ln>
          </c:spPr>
          <c:marker>
            <c:symbol val="none"/>
          </c:marker>
          <c:val>
            <c:numRef>
              <c:f>Gewaesserbelastung!$H$47:$H$55</c:f>
              <c:numCache>
                <c:formatCode>General</c:formatCode>
                <c:ptCount val="9"/>
                <c:pt idx="6">
                  <c:v>1</c:v>
                </c:pt>
                <c:pt idx="7">
                  <c:v>1</c:v>
                </c:pt>
                <c:pt idx="8">
                  <c:v>1</c:v>
                </c:pt>
              </c:numCache>
            </c:numRef>
          </c:val>
          <c:smooth val="0"/>
          <c:extLst>
            <c:ext xmlns:c16="http://schemas.microsoft.com/office/drawing/2014/chart" uri="{C3380CC4-5D6E-409C-BE32-E72D297353CC}">
              <c16:uniqueId val="{00000005-6EF9-4D16-8F4A-8140FC6A6969}"/>
            </c:ext>
          </c:extLst>
        </c:ser>
        <c:dLbls>
          <c:showLegendKey val="0"/>
          <c:showVal val="0"/>
          <c:showCatName val="0"/>
          <c:showSerName val="0"/>
          <c:showPercent val="0"/>
          <c:showBubbleSize val="0"/>
        </c:dLbls>
        <c:marker val="1"/>
        <c:smooth val="0"/>
        <c:axId val="249590912"/>
        <c:axId val="249592448"/>
      </c:lineChart>
      <c:catAx>
        <c:axId val="249590912"/>
        <c:scaling>
          <c:orientation val="minMax"/>
        </c:scaling>
        <c:delete val="0"/>
        <c:axPos val="b"/>
        <c:numFmt formatCode="General" sourceLinked="0"/>
        <c:majorTickMark val="out"/>
        <c:minorTickMark val="none"/>
        <c:tickLblPos val="nextTo"/>
        <c:crossAx val="249592448"/>
        <c:crossesAt val="0"/>
        <c:auto val="1"/>
        <c:lblAlgn val="ctr"/>
        <c:lblOffset val="100"/>
        <c:noMultiLvlLbl val="0"/>
      </c:catAx>
      <c:valAx>
        <c:axId val="249592448"/>
        <c:scaling>
          <c:orientation val="minMax"/>
          <c:min val="0"/>
        </c:scaling>
        <c:delete val="0"/>
        <c:axPos val="l"/>
        <c:majorGridlines/>
        <c:numFmt formatCode="General" sourceLinked="1"/>
        <c:majorTickMark val="none"/>
        <c:minorTickMark val="none"/>
        <c:tickLblPos val="none"/>
        <c:crossAx val="249590912"/>
        <c:crosses val="autoZero"/>
        <c:crossBetween val="between"/>
      </c:valAx>
      <c:spPr>
        <a:noFill/>
        <a:ln>
          <a:solidFill>
            <a:schemeClr val="tx1"/>
          </a:solidFill>
          <a:miter lim="800000"/>
        </a:ln>
      </c:spPr>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1"/>
            <c:trendlineLbl>
              <c:layout>
                <c:manualLayout>
                  <c:x val="0.30331474785046064"/>
                  <c:y val="-0.63286419303956731"/>
                </c:manualLayout>
              </c:layout>
              <c:numFmt formatCode="General" sourceLinked="0"/>
            </c:trendlineLbl>
          </c:trendline>
          <c:xVal>
            <c:numRef>
              <c:f>'Grundlagen Wirtschaftlichkeit'!$E$131:$H$131</c:f>
              <c:numCache>
                <c:formatCode>General</c:formatCode>
                <c:ptCount val="4"/>
                <c:pt idx="0">
                  <c:v>3</c:v>
                </c:pt>
                <c:pt idx="2">
                  <c:v>10</c:v>
                </c:pt>
                <c:pt idx="3">
                  <c:v>30</c:v>
                </c:pt>
              </c:numCache>
            </c:numRef>
          </c:xVal>
          <c:yVal>
            <c:numRef>
              <c:f>'Grundlagen Wirtschaftlichkeit'!$E$134:$H$134</c:f>
              <c:numCache>
                <c:formatCode>General</c:formatCode>
                <c:ptCount val="4"/>
                <c:pt idx="0" formatCode="0">
                  <c:v>36582</c:v>
                </c:pt>
                <c:pt idx="2" formatCode="0">
                  <c:v>39420</c:v>
                </c:pt>
                <c:pt idx="3" formatCode="0">
                  <c:v>65700</c:v>
                </c:pt>
              </c:numCache>
            </c:numRef>
          </c:yVal>
          <c:smooth val="0"/>
          <c:extLst>
            <c:ext xmlns:c16="http://schemas.microsoft.com/office/drawing/2014/chart" uri="{C3380CC4-5D6E-409C-BE32-E72D297353CC}">
              <c16:uniqueId val="{00000000-AD47-4C0B-806C-9D0F64741AE7}"/>
            </c:ext>
          </c:extLst>
        </c:ser>
        <c:dLbls>
          <c:showLegendKey val="0"/>
          <c:showVal val="0"/>
          <c:showCatName val="0"/>
          <c:showSerName val="0"/>
          <c:showPercent val="0"/>
          <c:showBubbleSize val="0"/>
        </c:dLbls>
        <c:axId val="249666176"/>
        <c:axId val="249688448"/>
      </c:scatterChart>
      <c:valAx>
        <c:axId val="249666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249688448"/>
        <c:crosses val="autoZero"/>
        <c:crossBetween val="midCat"/>
      </c:valAx>
      <c:valAx>
        <c:axId val="249688448"/>
        <c:scaling>
          <c:orientation val="minMax"/>
        </c:scaling>
        <c:delete val="0"/>
        <c:axPos val="l"/>
        <c:majorGridlines/>
        <c:numFmt formatCode="0" sourceLinked="1"/>
        <c:majorTickMark val="out"/>
        <c:minorTickMark val="none"/>
        <c:tickLblPos val="nextTo"/>
        <c:crossAx val="249666176"/>
        <c:crosses val="autoZero"/>
        <c:crossBetween val="midCat"/>
        <c:dispUnits>
          <c:builtInUnit val="thousands"/>
          <c:dispUnitsLbl/>
        </c:dispUnits>
      </c:valAx>
    </c:plotArea>
    <c:legend>
      <c:legendPos val="r"/>
      <c:overlay val="0"/>
    </c:legend>
    <c:plotVisOnly val="1"/>
    <c:dispBlanksAs val="gap"/>
    <c:showDLblsOverMax val="0"/>
  </c:chart>
  <c:spPr>
    <a:solidFill>
      <a:schemeClr val="accent4">
        <a:lumMod val="40000"/>
        <a:lumOff val="60000"/>
      </a:schemeClr>
    </a:solidFill>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1"/>
            <c:trendlineLbl>
              <c:layout>
                <c:manualLayout>
                  <c:x val="-2.5608923884514436E-2"/>
                  <c:y val="-6.3326407115777195E-2"/>
                </c:manualLayout>
              </c:layout>
              <c:numFmt formatCode="General" sourceLinked="0"/>
            </c:trendlineLbl>
          </c:trendline>
          <c:xVal>
            <c:numRef>
              <c:f>'Grundlagen Wirtschaftlichkeit'!$C$190:$C$195</c:f>
              <c:numCache>
                <c:formatCode>General</c:formatCode>
                <c:ptCount val="6"/>
                <c:pt idx="0">
                  <c:v>15</c:v>
                </c:pt>
                <c:pt idx="1">
                  <c:v>30</c:v>
                </c:pt>
                <c:pt idx="2">
                  <c:v>45</c:v>
                </c:pt>
                <c:pt idx="3">
                  <c:v>60</c:v>
                </c:pt>
                <c:pt idx="4">
                  <c:v>100</c:v>
                </c:pt>
                <c:pt idx="5">
                  <c:v>200</c:v>
                </c:pt>
              </c:numCache>
            </c:numRef>
          </c:xVal>
          <c:yVal>
            <c:numRef>
              <c:f>'Grundlagen Wirtschaftlichkeit'!$E$190:$E$195</c:f>
              <c:numCache>
                <c:formatCode>0</c:formatCode>
                <c:ptCount val="6"/>
                <c:pt idx="0">
                  <c:v>369960</c:v>
                </c:pt>
                <c:pt idx="1">
                  <c:v>422640</c:v>
                </c:pt>
                <c:pt idx="2">
                  <c:v>468382.5</c:v>
                </c:pt>
                <c:pt idx="3">
                  <c:v>590355</c:v>
                </c:pt>
                <c:pt idx="4">
                  <c:v>748950</c:v>
                </c:pt>
                <c:pt idx="5">
                  <c:v>1130400</c:v>
                </c:pt>
              </c:numCache>
            </c:numRef>
          </c:yVal>
          <c:smooth val="0"/>
          <c:extLst>
            <c:ext xmlns:c16="http://schemas.microsoft.com/office/drawing/2014/chart" uri="{C3380CC4-5D6E-409C-BE32-E72D297353CC}">
              <c16:uniqueId val="{00000000-DF35-480C-8890-89544368DF2E}"/>
            </c:ext>
          </c:extLst>
        </c:ser>
        <c:dLbls>
          <c:showLegendKey val="0"/>
          <c:showVal val="0"/>
          <c:showCatName val="0"/>
          <c:showSerName val="0"/>
          <c:showPercent val="0"/>
          <c:showBubbleSize val="0"/>
        </c:dLbls>
        <c:axId val="250831232"/>
        <c:axId val="250832768"/>
      </c:scatterChart>
      <c:valAx>
        <c:axId val="250831232"/>
        <c:scaling>
          <c:orientation val="minMax"/>
        </c:scaling>
        <c:delete val="0"/>
        <c:axPos val="b"/>
        <c:numFmt formatCode="General" sourceLinked="1"/>
        <c:majorTickMark val="out"/>
        <c:minorTickMark val="none"/>
        <c:tickLblPos val="nextTo"/>
        <c:crossAx val="250832768"/>
        <c:crosses val="autoZero"/>
        <c:crossBetween val="midCat"/>
      </c:valAx>
      <c:valAx>
        <c:axId val="250832768"/>
        <c:scaling>
          <c:orientation val="minMax"/>
        </c:scaling>
        <c:delete val="0"/>
        <c:axPos val="l"/>
        <c:majorGridlines/>
        <c:numFmt formatCode="0" sourceLinked="1"/>
        <c:majorTickMark val="out"/>
        <c:minorTickMark val="none"/>
        <c:tickLblPos val="nextTo"/>
        <c:crossAx val="250831232"/>
        <c:crosses val="autoZero"/>
        <c:crossBetween val="midCat"/>
      </c:valAx>
    </c:plotArea>
    <c:plotVisOnly val="1"/>
    <c:dispBlanksAs val="gap"/>
    <c:showDLblsOverMax val="0"/>
  </c:chart>
  <c:printSettings>
    <c:headerFooter/>
    <c:pageMargins b="0.78740157499999996" l="0.7" r="0.7" t="0.78740157499999996" header="0.3" footer="0.3"/>
    <c:pageSetup/>
  </c:printSettings>
</c:chartSpace>
</file>

<file path=xl/ctrlProps/ctrlProp1.xml><?xml version="1.0" encoding="utf-8"?>
<formControlPr xmlns="http://schemas.microsoft.com/office/spreadsheetml/2009/9/main" objectType="Drop" dropLines="2" dropStyle="combo" dx="16" fmlaLink="N2" fmlaRange="Sprachen" noThreeD="1" sel="1" val="0"/>
</file>

<file path=xl/ctrlProps/ctrlProp2.xml><?xml version="1.0" encoding="utf-8"?>
<formControlPr xmlns="http://schemas.microsoft.com/office/spreadsheetml/2009/9/main" objectType="Drop" dropLines="3" dropStyle="combo" dx="16" fmlaLink="$C$14" fmlaRange="EZSee" noThreeD="1" sel="1" val="0"/>
</file>

<file path=xl/ctrlProps/ctrlProp3.xml><?xml version="1.0" encoding="utf-8"?>
<formControlPr xmlns="http://schemas.microsoft.com/office/spreadsheetml/2009/9/main" objectType="Drop" dropLines="3" dropStyle="combo" dx="16" fmlaLink="$C$19" fmlaRange="Anlagetyp" noThreeD="1" sel="3" val="0"/>
</file>

<file path=xl/ctrlProps/ctrlProp4.xml><?xml version="1.0" encoding="utf-8"?>
<formControlPr xmlns="http://schemas.microsoft.com/office/spreadsheetml/2009/9/main" objectType="Drop" dropLines="2" dropStyle="combo" dx="16" fmlaLink="$C$20" fmlaRange="Zuchtart" noThreeD="1" sel="1" val="0"/>
</file>

<file path=xl/ctrlProps/ctrlProp5.xml><?xml version="1.0" encoding="utf-8"?>
<formControlPr xmlns="http://schemas.microsoft.com/office/spreadsheetml/2009/9/main" objectType="Drop" dropLines="2" dropStyle="combo" dx="16" fmlaLink="$C$58" fmlaRange="QWasser" noThreeD="1" sel="1" val="0"/>
</file>

<file path=xl/ctrlProps/ctrlProp6.xml><?xml version="1.0" encoding="utf-8"?>
<formControlPr xmlns="http://schemas.microsoft.com/office/spreadsheetml/2009/9/main" objectType="Drop" dropLines="2" dropStyle="combo" dx="16" fmlaLink="$C$59" fmlaRange="DOCVorbel" noThreeD="1" sel="1" val="0"/>
</file>

<file path=xl/ctrlProps/ctrlProp7.xml><?xml version="1.0" encoding="utf-8"?>
<formControlPr xmlns="http://schemas.microsoft.com/office/spreadsheetml/2009/9/main" objectType="Drop" dropLines="4" dropStyle="combo" dx="16" fmlaLink="$C$73" fmlaRange="Schlamm" noThreeD="1" sel="1" val="0"/>
</file>

<file path=xl/ctrlProps/ctrlProp8.xml><?xml version="1.0" encoding="utf-8"?>
<formControlPr xmlns="http://schemas.microsoft.com/office/spreadsheetml/2009/9/main" objectType="Drop" dropLines="4" dropStyle="combo" dx="16" fmlaLink="$C$74" fmlaRange="Entwässerung" noThreeD="1" sel="2" val="0"/>
</file>

<file path=xl/ctrlProps/ctrlProp9.xml><?xml version="1.0" encoding="utf-8"?>
<formControlPr xmlns="http://schemas.microsoft.com/office/spreadsheetml/2009/9/main" objectType="Drop" dropLines="2" dropStyle="combo" dx="16" fmlaLink="$C$76" fmlaRange="PhosphorF" noThreeD="1" sel="1" val="0"/>
</file>

<file path=xl/ctrlProps/ctrlProp10.xml><?xml version="1.0" encoding="utf-8"?>
<formControlPr xmlns="http://schemas.microsoft.com/office/spreadsheetml/2009/9/main" objectType="Drop" dropLines="3" dropStyle="combo" dx="16" fmlaLink="$C$77" fmlaRange="Vorbeh" noThreeD="1" sel="1" val="0"/>
</file>

<file path=xl/ctrlProps/ctrlProp11.xml><?xml version="1.0" encoding="utf-8"?>
<formControlPr xmlns="http://schemas.microsoft.com/office/spreadsheetml/2009/9/main" objectType="Drop" dropStyle="combo" dx="16" noThreeD="1" sel="0"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609600</xdr:colOff>
      <xdr:row>73</xdr:row>
      <xdr:rowOff>119352</xdr:rowOff>
    </xdr:from>
    <xdr:to>
      <xdr:col>13</xdr:col>
      <xdr:colOff>1143000</xdr:colOff>
      <xdr:row>76</xdr:row>
      <xdr:rowOff>142874</xdr:rowOff>
    </xdr:to>
    <xdr:graphicFrame macro="">
      <xdr:nvGraphicFramePr>
        <xdr:cNvPr id="3" name="Diagram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9527</xdr:colOff>
      <xdr:row>40</xdr:row>
      <xdr:rowOff>114300</xdr:rowOff>
    </xdr:from>
    <xdr:to>
      <xdr:col>10</xdr:col>
      <xdr:colOff>285751</xdr:colOff>
      <xdr:row>45</xdr:row>
      <xdr:rowOff>85725</xdr:rowOff>
    </xdr:to>
    <xdr:grpSp>
      <xdr:nvGrpSpPr>
        <xdr:cNvPr id="54" name="Gruppieren 53"/>
        <xdr:cNvGrpSpPr/>
      </xdr:nvGrpSpPr>
      <xdr:grpSpPr>
        <a:xfrm>
          <a:off x="7324727" y="8553450"/>
          <a:ext cx="276224" cy="885825"/>
          <a:chOff x="10668002" y="8467725"/>
          <a:chExt cx="276224" cy="885825"/>
        </a:xfrm>
      </xdr:grpSpPr>
      <xdr:cxnSp macro="">
        <xdr:nvCxnSpPr>
          <xdr:cNvPr id="40" name="Gerade Verbindung 39"/>
          <xdr:cNvCxnSpPr/>
        </xdr:nvCxnSpPr>
        <xdr:spPr>
          <a:xfrm flipH="1">
            <a:off x="10825163" y="9353550"/>
            <a:ext cx="119063" cy="0"/>
          </a:xfrm>
          <a:prstGeom prst="line">
            <a:avLst/>
          </a:prstGeom>
          <a:ln w="19050">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 name="Gerade Verbindung 41"/>
          <xdr:cNvCxnSpPr/>
        </xdr:nvCxnSpPr>
        <xdr:spPr>
          <a:xfrm flipV="1">
            <a:off x="10815638" y="8467726"/>
            <a:ext cx="4762" cy="885824"/>
          </a:xfrm>
          <a:prstGeom prst="line">
            <a:avLst/>
          </a:prstGeom>
          <a:ln w="19050">
            <a:solidFill>
              <a:schemeClr val="accent6">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Gerade Verbindung mit Pfeil 43"/>
          <xdr:cNvCxnSpPr/>
        </xdr:nvCxnSpPr>
        <xdr:spPr>
          <a:xfrm flipH="1">
            <a:off x="10668002" y="8467725"/>
            <a:ext cx="147636" cy="1"/>
          </a:xfrm>
          <a:prstGeom prst="straightConnector1">
            <a:avLst/>
          </a:prstGeom>
          <a:ln w="19050">
            <a:solidFill>
              <a:schemeClr val="accent6">
                <a:lumMod val="60000"/>
                <a:lumOff val="40000"/>
              </a:schemeClr>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13</xdr:col>
          <xdr:colOff>619125</xdr:colOff>
          <xdr:row>1</xdr:row>
          <xdr:rowOff>9525</xdr:rowOff>
        </xdr:from>
        <xdr:to>
          <xdr:col>13</xdr:col>
          <xdr:colOff>1181100</xdr:colOff>
          <xdr:row>1</xdr:row>
          <xdr:rowOff>247650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180975</xdr:rowOff>
        </xdr:from>
        <xdr:to>
          <xdr:col>8</xdr:col>
          <xdr:colOff>790575</xdr:colOff>
          <xdr:row>11</xdr:row>
          <xdr:rowOff>0</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9525</xdr:rowOff>
        </xdr:from>
        <xdr:to>
          <xdr:col>7</xdr:col>
          <xdr:colOff>1238250</xdr:colOff>
          <xdr:row>17</xdr:row>
          <xdr:rowOff>457200</xdr:rowOff>
        </xdr:to>
        <xdr:sp macro="" textlink="">
          <xdr:nvSpPr>
            <xdr:cNvPr id="1031" name="Drop Down 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9525</xdr:rowOff>
        </xdr:from>
        <xdr:to>
          <xdr:col>7</xdr:col>
          <xdr:colOff>1238250</xdr:colOff>
          <xdr:row>18</xdr:row>
          <xdr:rowOff>457200</xdr:rowOff>
        </xdr:to>
        <xdr:sp macro="" textlink="">
          <xdr:nvSpPr>
            <xdr:cNvPr id="1032" name="Drop Down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161925</xdr:rowOff>
        </xdr:from>
        <xdr:to>
          <xdr:col>10</xdr:col>
          <xdr:colOff>0</xdr:colOff>
          <xdr:row>53</xdr:row>
          <xdr:rowOff>9525</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161925</xdr:rowOff>
        </xdr:from>
        <xdr:to>
          <xdr:col>12</xdr:col>
          <xdr:colOff>19050</xdr:colOff>
          <xdr:row>59</xdr:row>
          <xdr:rowOff>19050</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68</xdr:row>
          <xdr:rowOff>19050</xdr:rowOff>
        </xdr:from>
        <xdr:to>
          <xdr:col>8</xdr:col>
          <xdr:colOff>1295400</xdr:colOff>
          <xdr:row>68</xdr:row>
          <xdr:rowOff>609600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69</xdr:row>
          <xdr:rowOff>19050</xdr:rowOff>
        </xdr:from>
        <xdr:to>
          <xdr:col>8</xdr:col>
          <xdr:colOff>1295400</xdr:colOff>
          <xdr:row>69</xdr:row>
          <xdr:rowOff>609600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9525</xdr:rowOff>
        </xdr:from>
        <xdr:to>
          <xdr:col>8</xdr:col>
          <xdr:colOff>1285875</xdr:colOff>
          <xdr:row>78</xdr:row>
          <xdr:rowOff>619125</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9525</xdr:rowOff>
        </xdr:from>
        <xdr:to>
          <xdr:col>8</xdr:col>
          <xdr:colOff>1285875</xdr:colOff>
          <xdr:row>79</xdr:row>
          <xdr:rowOff>619125</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0</xdr:rowOff>
        </xdr:from>
        <xdr:to>
          <xdr:col>11</xdr:col>
          <xdr:colOff>1152525</xdr:colOff>
          <xdr:row>7</xdr:row>
          <xdr:rowOff>9525</xdr:rowOff>
        </xdr:to>
        <xdr:sp macro="" textlink="">
          <xdr:nvSpPr>
            <xdr:cNvPr id="1044" name="Drop Down 20"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28575</xdr:colOff>
      <xdr:row>242</xdr:row>
      <xdr:rowOff>9525</xdr:rowOff>
    </xdr:from>
    <xdr:to>
      <xdr:col>2</xdr:col>
      <xdr:colOff>1095375</xdr:colOff>
      <xdr:row>251</xdr:row>
      <xdr:rowOff>142875</xdr:rowOff>
    </xdr:to>
    <xdr:sp macro="" textlink="">
      <xdr:nvSpPr>
        <xdr:cNvPr id="2" name="Rechteck 1"/>
        <xdr:cNvSpPr/>
      </xdr:nvSpPr>
      <xdr:spPr>
        <a:xfrm>
          <a:off x="790575" y="32080200"/>
          <a:ext cx="3343275" cy="159067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Fischbecken</a:t>
          </a:r>
        </a:p>
      </xdr:txBody>
    </xdr:sp>
    <xdr:clientData/>
  </xdr:twoCellAnchor>
  <xdr:twoCellAnchor>
    <xdr:from>
      <xdr:col>3</xdr:col>
      <xdr:colOff>742950</xdr:colOff>
      <xdr:row>241</xdr:row>
      <xdr:rowOff>152400</xdr:rowOff>
    </xdr:from>
    <xdr:to>
      <xdr:col>3</xdr:col>
      <xdr:colOff>1733550</xdr:colOff>
      <xdr:row>247</xdr:row>
      <xdr:rowOff>104775</xdr:rowOff>
    </xdr:to>
    <xdr:sp macro="" textlink="">
      <xdr:nvSpPr>
        <xdr:cNvPr id="3" name="Ellipse 2"/>
        <xdr:cNvSpPr/>
      </xdr:nvSpPr>
      <xdr:spPr>
        <a:xfrm>
          <a:off x="5591175" y="32061150"/>
          <a:ext cx="990600" cy="9239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Trommelfilter</a:t>
          </a:r>
        </a:p>
      </xdr:txBody>
    </xdr:sp>
    <xdr:clientData/>
  </xdr:twoCellAnchor>
  <xdr:twoCellAnchor>
    <xdr:from>
      <xdr:col>2</xdr:col>
      <xdr:colOff>981075</xdr:colOff>
      <xdr:row>243</xdr:row>
      <xdr:rowOff>57150</xdr:rowOff>
    </xdr:from>
    <xdr:to>
      <xdr:col>3</xdr:col>
      <xdr:colOff>771525</xdr:colOff>
      <xdr:row>243</xdr:row>
      <xdr:rowOff>104775</xdr:rowOff>
    </xdr:to>
    <xdr:sp macro="" textlink="">
      <xdr:nvSpPr>
        <xdr:cNvPr id="4" name="Pfeil nach rechts 3"/>
        <xdr:cNvSpPr/>
      </xdr:nvSpPr>
      <xdr:spPr>
        <a:xfrm>
          <a:off x="4019550" y="32289750"/>
          <a:ext cx="1600200" cy="476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3</xdr:col>
      <xdr:colOff>457200</xdr:colOff>
      <xdr:row>251</xdr:row>
      <xdr:rowOff>95251</xdr:rowOff>
    </xdr:from>
    <xdr:to>
      <xdr:col>3</xdr:col>
      <xdr:colOff>2162175</xdr:colOff>
      <xdr:row>258</xdr:row>
      <xdr:rowOff>142876</xdr:rowOff>
    </xdr:to>
    <xdr:sp macro="" textlink="">
      <xdr:nvSpPr>
        <xdr:cNvPr id="5" name="Flussdiagramm: Zusammenführen 4"/>
        <xdr:cNvSpPr/>
      </xdr:nvSpPr>
      <xdr:spPr>
        <a:xfrm>
          <a:off x="5305425" y="33623251"/>
          <a:ext cx="1704975" cy="1181100"/>
        </a:xfrm>
        <a:prstGeom prst="flowChartMer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Schlammabsetzung</a:t>
          </a:r>
        </a:p>
      </xdr:txBody>
    </xdr:sp>
    <xdr:clientData/>
  </xdr:twoCellAnchor>
  <xdr:twoCellAnchor>
    <xdr:from>
      <xdr:col>3</xdr:col>
      <xdr:colOff>1266825</xdr:colOff>
      <xdr:row>247</xdr:row>
      <xdr:rowOff>123825</xdr:rowOff>
    </xdr:from>
    <xdr:to>
      <xdr:col>3</xdr:col>
      <xdr:colOff>1312544</xdr:colOff>
      <xdr:row>251</xdr:row>
      <xdr:rowOff>95250</xdr:rowOff>
    </xdr:to>
    <xdr:sp macro="" textlink="">
      <xdr:nvSpPr>
        <xdr:cNvPr id="6" name="Pfeil nach unten 5"/>
        <xdr:cNvSpPr/>
      </xdr:nvSpPr>
      <xdr:spPr>
        <a:xfrm>
          <a:off x="6115050" y="33004125"/>
          <a:ext cx="45719"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19050</xdr:colOff>
      <xdr:row>243</xdr:row>
      <xdr:rowOff>28575</xdr:rowOff>
    </xdr:from>
    <xdr:to>
      <xdr:col>6</xdr:col>
      <xdr:colOff>19050</xdr:colOff>
      <xdr:row>249</xdr:row>
      <xdr:rowOff>9525</xdr:rowOff>
    </xdr:to>
    <xdr:sp macro="" textlink="">
      <xdr:nvSpPr>
        <xdr:cNvPr id="7" name="Rechteck 6"/>
        <xdr:cNvSpPr/>
      </xdr:nvSpPr>
      <xdr:spPr>
        <a:xfrm>
          <a:off x="7239000" y="32261175"/>
          <a:ext cx="1685925"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Biofilter</a:t>
          </a:r>
        </a:p>
      </xdr:txBody>
    </xdr:sp>
    <xdr:clientData/>
  </xdr:twoCellAnchor>
  <xdr:twoCellAnchor>
    <xdr:from>
      <xdr:col>3</xdr:col>
      <xdr:colOff>1752600</xdr:colOff>
      <xdr:row>244</xdr:row>
      <xdr:rowOff>38100</xdr:rowOff>
    </xdr:from>
    <xdr:to>
      <xdr:col>4</xdr:col>
      <xdr:colOff>28575</xdr:colOff>
      <xdr:row>244</xdr:row>
      <xdr:rowOff>133350</xdr:rowOff>
    </xdr:to>
    <xdr:sp macro="" textlink="">
      <xdr:nvSpPr>
        <xdr:cNvPr id="8" name="Pfeil nach rechts 7"/>
        <xdr:cNvSpPr/>
      </xdr:nvSpPr>
      <xdr:spPr>
        <a:xfrm>
          <a:off x="6600825" y="32432625"/>
          <a:ext cx="647700" cy="95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1104900</xdr:colOff>
      <xdr:row>247</xdr:row>
      <xdr:rowOff>142874</xdr:rowOff>
    </xdr:from>
    <xdr:to>
      <xdr:col>4</xdr:col>
      <xdr:colOff>19050</xdr:colOff>
      <xdr:row>248</xdr:row>
      <xdr:rowOff>123824</xdr:rowOff>
    </xdr:to>
    <xdr:sp macro="" textlink="">
      <xdr:nvSpPr>
        <xdr:cNvPr id="9" name="Pfeil nach rechts 8"/>
        <xdr:cNvSpPr/>
      </xdr:nvSpPr>
      <xdr:spPr>
        <a:xfrm rot="10800000">
          <a:off x="4143375" y="33023174"/>
          <a:ext cx="3095625" cy="142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3</xdr:col>
      <xdr:colOff>1276350</xdr:colOff>
      <xdr:row>258</xdr:row>
      <xdr:rowOff>114300</xdr:rowOff>
    </xdr:from>
    <xdr:to>
      <xdr:col>3</xdr:col>
      <xdr:colOff>1352550</xdr:colOff>
      <xdr:row>264</xdr:row>
      <xdr:rowOff>19050</xdr:rowOff>
    </xdr:to>
    <xdr:sp macro="" textlink="">
      <xdr:nvSpPr>
        <xdr:cNvPr id="10" name="Pfeil nach unten 9"/>
        <xdr:cNvSpPr/>
      </xdr:nvSpPr>
      <xdr:spPr>
        <a:xfrm>
          <a:off x="6124575" y="34775775"/>
          <a:ext cx="76200" cy="876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3</xdr:col>
      <xdr:colOff>28575</xdr:colOff>
      <xdr:row>252</xdr:row>
      <xdr:rowOff>38099</xdr:rowOff>
    </xdr:from>
    <xdr:to>
      <xdr:col>3</xdr:col>
      <xdr:colOff>504825</xdr:colOff>
      <xdr:row>252</xdr:row>
      <xdr:rowOff>83818</xdr:rowOff>
    </xdr:to>
    <xdr:sp macro="" textlink="">
      <xdr:nvSpPr>
        <xdr:cNvPr id="11" name="Pfeil nach rechts 10"/>
        <xdr:cNvSpPr/>
      </xdr:nvSpPr>
      <xdr:spPr>
        <a:xfrm rot="10800000">
          <a:off x="4876800" y="33728024"/>
          <a:ext cx="476250" cy="45719"/>
        </a:xfrm>
        <a:prstGeom prst="righ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3</xdr:col>
      <xdr:colOff>19050</xdr:colOff>
      <xdr:row>244</xdr:row>
      <xdr:rowOff>142875</xdr:rowOff>
    </xdr:from>
    <xdr:to>
      <xdr:col>3</xdr:col>
      <xdr:colOff>733425</xdr:colOff>
      <xdr:row>245</xdr:row>
      <xdr:rowOff>57150</xdr:rowOff>
    </xdr:to>
    <xdr:sp macro="" textlink="">
      <xdr:nvSpPr>
        <xdr:cNvPr id="12" name="Pfeil nach rechts 11"/>
        <xdr:cNvSpPr/>
      </xdr:nvSpPr>
      <xdr:spPr>
        <a:xfrm>
          <a:off x="4867275" y="32537400"/>
          <a:ext cx="714375" cy="76200"/>
        </a:xfrm>
        <a:prstGeom prst="righ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1790700</xdr:colOff>
      <xdr:row>245</xdr:row>
      <xdr:rowOff>28575</xdr:rowOff>
    </xdr:from>
    <xdr:to>
      <xdr:col>3</xdr:col>
      <xdr:colOff>26669</xdr:colOff>
      <xdr:row>252</xdr:row>
      <xdr:rowOff>95250</xdr:rowOff>
    </xdr:to>
    <xdr:sp macro="" textlink="">
      <xdr:nvSpPr>
        <xdr:cNvPr id="14" name="Pfeil nach oben 13"/>
        <xdr:cNvSpPr/>
      </xdr:nvSpPr>
      <xdr:spPr>
        <a:xfrm>
          <a:off x="4829175" y="32585025"/>
          <a:ext cx="45719" cy="1200150"/>
        </a:xfrm>
        <a:prstGeom prst="up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800100</xdr:colOff>
      <xdr:row>252</xdr:row>
      <xdr:rowOff>57150</xdr:rowOff>
    </xdr:from>
    <xdr:to>
      <xdr:col>6</xdr:col>
      <xdr:colOff>476250</xdr:colOff>
      <xdr:row>260</xdr:row>
      <xdr:rowOff>19050</xdr:rowOff>
    </xdr:to>
    <xdr:sp macro="" textlink="">
      <xdr:nvSpPr>
        <xdr:cNvPr id="15" name="Ellipse 14"/>
        <xdr:cNvSpPr/>
      </xdr:nvSpPr>
      <xdr:spPr>
        <a:xfrm>
          <a:off x="8020050" y="33747075"/>
          <a:ext cx="1362075" cy="125730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P-Fällung</a:t>
          </a:r>
        </a:p>
      </xdr:txBody>
    </xdr:sp>
    <xdr:clientData/>
  </xdr:twoCellAnchor>
  <xdr:twoCellAnchor>
    <xdr:from>
      <xdr:col>5</xdr:col>
      <xdr:colOff>457200</xdr:colOff>
      <xdr:row>249</xdr:row>
      <xdr:rowOff>19050</xdr:rowOff>
    </xdr:from>
    <xdr:to>
      <xdr:col>5</xdr:col>
      <xdr:colOff>523875</xdr:colOff>
      <xdr:row>252</xdr:row>
      <xdr:rowOff>76200</xdr:rowOff>
    </xdr:to>
    <xdr:sp macro="" textlink="">
      <xdr:nvSpPr>
        <xdr:cNvPr id="16" name="Pfeil nach unten 15"/>
        <xdr:cNvSpPr/>
      </xdr:nvSpPr>
      <xdr:spPr>
        <a:xfrm>
          <a:off x="8601075" y="33223200"/>
          <a:ext cx="66675" cy="542925"/>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457200</xdr:colOff>
      <xdr:row>255</xdr:row>
      <xdr:rowOff>133350</xdr:rowOff>
    </xdr:from>
    <xdr:to>
      <xdr:col>7</xdr:col>
      <xdr:colOff>723900</xdr:colOff>
      <xdr:row>256</xdr:row>
      <xdr:rowOff>17144</xdr:rowOff>
    </xdr:to>
    <xdr:sp macro="" textlink="">
      <xdr:nvSpPr>
        <xdr:cNvPr id="17" name="Pfeil nach rechts 16"/>
        <xdr:cNvSpPr/>
      </xdr:nvSpPr>
      <xdr:spPr>
        <a:xfrm>
          <a:off x="9363075" y="34309050"/>
          <a:ext cx="1028700" cy="45719"/>
        </a:xfrm>
        <a:prstGeom prst="righ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3</xdr:col>
      <xdr:colOff>1981200</xdr:colOff>
      <xdr:row>252</xdr:row>
      <xdr:rowOff>133350</xdr:rowOff>
    </xdr:from>
    <xdr:to>
      <xdr:col>4</xdr:col>
      <xdr:colOff>219075</xdr:colOff>
      <xdr:row>253</xdr:row>
      <xdr:rowOff>17144</xdr:rowOff>
    </xdr:to>
    <xdr:sp macro="" textlink="">
      <xdr:nvSpPr>
        <xdr:cNvPr id="18" name="Pfeil nach rechts 17"/>
        <xdr:cNvSpPr/>
      </xdr:nvSpPr>
      <xdr:spPr>
        <a:xfrm>
          <a:off x="6829425" y="33823275"/>
          <a:ext cx="609600" cy="45719"/>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228600</xdr:colOff>
      <xdr:row>252</xdr:row>
      <xdr:rowOff>123825</xdr:rowOff>
    </xdr:from>
    <xdr:to>
      <xdr:col>4</xdr:col>
      <xdr:colOff>274319</xdr:colOff>
      <xdr:row>262</xdr:row>
      <xdr:rowOff>85725</xdr:rowOff>
    </xdr:to>
    <xdr:sp macro="" textlink="">
      <xdr:nvSpPr>
        <xdr:cNvPr id="19" name="Pfeil nach unten 18"/>
        <xdr:cNvSpPr/>
      </xdr:nvSpPr>
      <xdr:spPr>
        <a:xfrm>
          <a:off x="7448550" y="33813750"/>
          <a:ext cx="45719" cy="1581150"/>
        </a:xfrm>
        <a:prstGeom prst="down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390526</xdr:colOff>
      <xdr:row>262</xdr:row>
      <xdr:rowOff>57150</xdr:rowOff>
    </xdr:from>
    <xdr:to>
      <xdr:col>7</xdr:col>
      <xdr:colOff>723900</xdr:colOff>
      <xdr:row>262</xdr:row>
      <xdr:rowOff>123825</xdr:rowOff>
    </xdr:to>
    <xdr:sp macro="" textlink="">
      <xdr:nvSpPr>
        <xdr:cNvPr id="20" name="Pfeil nach rechts 19"/>
        <xdr:cNvSpPr/>
      </xdr:nvSpPr>
      <xdr:spPr>
        <a:xfrm>
          <a:off x="8534401" y="35366325"/>
          <a:ext cx="1857374" cy="66675"/>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3</xdr:col>
      <xdr:colOff>1733550</xdr:colOff>
      <xdr:row>249</xdr:row>
      <xdr:rowOff>57150</xdr:rowOff>
    </xdr:from>
    <xdr:to>
      <xdr:col>3</xdr:col>
      <xdr:colOff>1779269</xdr:colOff>
      <xdr:row>251</xdr:row>
      <xdr:rowOff>85725</xdr:rowOff>
    </xdr:to>
    <xdr:sp macro="" textlink="">
      <xdr:nvSpPr>
        <xdr:cNvPr id="21" name="Pfeil nach unten 20"/>
        <xdr:cNvSpPr/>
      </xdr:nvSpPr>
      <xdr:spPr>
        <a:xfrm>
          <a:off x="6581775" y="33261300"/>
          <a:ext cx="45719" cy="352425"/>
        </a:xfrm>
        <a:prstGeom prst="down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609600</xdr:colOff>
      <xdr:row>260</xdr:row>
      <xdr:rowOff>152400</xdr:rowOff>
    </xdr:from>
    <xdr:to>
      <xdr:col>5</xdr:col>
      <xdr:colOff>371475</xdr:colOff>
      <xdr:row>264</xdr:row>
      <xdr:rowOff>104775</xdr:rowOff>
    </xdr:to>
    <xdr:sp macro="" textlink="">
      <xdr:nvSpPr>
        <xdr:cNvPr id="22" name="Ellipse 21"/>
        <xdr:cNvSpPr/>
      </xdr:nvSpPr>
      <xdr:spPr>
        <a:xfrm>
          <a:off x="7829550" y="35137725"/>
          <a:ext cx="685800" cy="60007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100"/>
            <a:t>Filter</a:t>
          </a:r>
        </a:p>
      </xdr:txBody>
    </xdr:sp>
    <xdr:clientData/>
  </xdr:twoCellAnchor>
  <xdr:twoCellAnchor>
    <xdr:from>
      <xdr:col>4</xdr:col>
      <xdr:colOff>219074</xdr:colOff>
      <xdr:row>262</xdr:row>
      <xdr:rowOff>76201</xdr:rowOff>
    </xdr:from>
    <xdr:to>
      <xdr:col>4</xdr:col>
      <xdr:colOff>590549</xdr:colOff>
      <xdr:row>262</xdr:row>
      <xdr:rowOff>142875</xdr:rowOff>
    </xdr:to>
    <xdr:sp macro="" textlink="">
      <xdr:nvSpPr>
        <xdr:cNvPr id="23" name="Pfeil nach rechts 22"/>
        <xdr:cNvSpPr/>
      </xdr:nvSpPr>
      <xdr:spPr>
        <a:xfrm>
          <a:off x="7439024" y="35385376"/>
          <a:ext cx="371475" cy="66674"/>
        </a:xfrm>
        <a:prstGeom prst="rightArrow">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3</xdr:col>
      <xdr:colOff>2124074</xdr:colOff>
      <xdr:row>252</xdr:row>
      <xdr:rowOff>9525</xdr:rowOff>
    </xdr:from>
    <xdr:to>
      <xdr:col>5</xdr:col>
      <xdr:colOff>114299</xdr:colOff>
      <xdr:row>252</xdr:row>
      <xdr:rowOff>55244</xdr:rowOff>
    </xdr:to>
    <xdr:sp macro="" textlink="">
      <xdr:nvSpPr>
        <xdr:cNvPr id="24" name="Pfeil nach rechts 23"/>
        <xdr:cNvSpPr/>
      </xdr:nvSpPr>
      <xdr:spPr>
        <a:xfrm>
          <a:off x="6972299" y="33699450"/>
          <a:ext cx="1285875" cy="45719"/>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95250</xdr:colOff>
      <xdr:row>249</xdr:row>
      <xdr:rowOff>19050</xdr:rowOff>
    </xdr:from>
    <xdr:to>
      <xdr:col>5</xdr:col>
      <xdr:colOff>140969</xdr:colOff>
      <xdr:row>253</xdr:row>
      <xdr:rowOff>9525</xdr:rowOff>
    </xdr:to>
    <xdr:sp macro="" textlink="">
      <xdr:nvSpPr>
        <xdr:cNvPr id="25" name="Pfeil nach unten 24"/>
        <xdr:cNvSpPr/>
      </xdr:nvSpPr>
      <xdr:spPr>
        <a:xfrm>
          <a:off x="8239125" y="33223200"/>
          <a:ext cx="45719" cy="6381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57149</xdr:colOff>
      <xdr:row>2</xdr:row>
      <xdr:rowOff>152400</xdr:rowOff>
    </xdr:from>
    <xdr:to>
      <xdr:col>15</xdr:col>
      <xdr:colOff>895350</xdr:colOff>
      <xdr:row>13</xdr:row>
      <xdr:rowOff>57150</xdr:rowOff>
    </xdr:to>
    <xdr:graphicFrame macro="">
      <xdr:nvGraphicFramePr>
        <xdr:cNvPr id="13" name="Diagramm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123824</xdr:colOff>
      <xdr:row>31</xdr:row>
      <xdr:rowOff>28575</xdr:rowOff>
    </xdr:from>
    <xdr:to>
      <xdr:col>10</xdr:col>
      <xdr:colOff>666749</xdr:colOff>
      <xdr:row>44</xdr:row>
      <xdr:rowOff>57150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147</xdr:row>
      <xdr:rowOff>9525</xdr:rowOff>
    </xdr:from>
    <xdr:to>
      <xdr:col>18</xdr:col>
      <xdr:colOff>66675</xdr:colOff>
      <xdr:row>167</xdr:row>
      <xdr:rowOff>19050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295275</xdr:colOff>
      <xdr:row>199</xdr:row>
      <xdr:rowOff>38100</xdr:rowOff>
    </xdr:from>
    <xdr:to>
      <xdr:col>11</xdr:col>
      <xdr:colOff>315335</xdr:colOff>
      <xdr:row>230</xdr:row>
      <xdr:rowOff>76906</xdr:rowOff>
    </xdr:to>
    <xdr:pic>
      <xdr:nvPicPr>
        <xdr:cNvPr id="3" name="Grafik 2"/>
        <xdr:cNvPicPr>
          <a:picLocks noChangeAspect="1"/>
        </xdr:cNvPicPr>
      </xdr:nvPicPr>
      <xdr:blipFill>
        <a:blip xmlns:r="http://schemas.openxmlformats.org/officeDocument/2006/relationships" r:embed="rId2"/>
        <a:stretch>
          <a:fillRect/>
        </a:stretch>
      </xdr:blipFill>
      <xdr:spPr>
        <a:xfrm>
          <a:off x="3467100" y="33108900"/>
          <a:ext cx="7240010" cy="5058481"/>
        </a:xfrm>
        <a:prstGeom prst="rect">
          <a:avLst/>
        </a:prstGeom>
      </xdr:spPr>
    </xdr:pic>
    <xdr:clientData/>
  </xdr:twoCellAnchor>
  <xdr:twoCellAnchor>
    <xdr:from>
      <xdr:col>6</xdr:col>
      <xdr:colOff>500062</xdr:colOff>
      <xdr:row>184</xdr:row>
      <xdr:rowOff>9525</xdr:rowOff>
    </xdr:from>
    <xdr:to>
      <xdr:col>12</xdr:col>
      <xdr:colOff>319087</xdr:colOff>
      <xdr:row>201</xdr:row>
      <xdr:rowOff>0</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niel.obrist@admin.vs.ch" TargetMode="External"/><Relationship Id="rId2" Type="http://schemas.openxmlformats.org/officeDocument/2006/relationships/hyperlink" Target="mailto:lucie.fauquet@admin.vs.ch"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lukas.grauwiler@lu.ch"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B2:M106"/>
  <sheetViews>
    <sheetView showGridLines="0" showRowColHeaders="0" tabSelected="1" topLeftCell="A70" workbookViewId="0">
      <selection activeCell="J91" sqref="J91"/>
    </sheetView>
  </sheetViews>
  <sheetFormatPr baseColWidth="10" defaultColWidth="11.42578125" defaultRowHeight="12.75" x14ac:dyDescent="0.2"/>
  <cols>
    <col min="1" max="1" width="6" customWidth="1"/>
    <col min="2" max="3" width="20.7109375" customWidth="1"/>
    <col min="4" max="16" width="11.42578125" customWidth="1"/>
  </cols>
  <sheetData>
    <row r="2" spans="2:13" ht="18" x14ac:dyDescent="0.25">
      <c r="B2" s="1" t="s">
        <v>0</v>
      </c>
    </row>
    <row r="4" spans="2:13" x14ac:dyDescent="0.2">
      <c r="B4" s="2" t="s">
        <v>1</v>
      </c>
    </row>
    <row r="5" spans="2:13" x14ac:dyDescent="0.2">
      <c r="B5" s="3" t="s">
        <v>2</v>
      </c>
    </row>
    <row r="6" spans="2:13" x14ac:dyDescent="0.2">
      <c r="B6" s="3"/>
    </row>
    <row r="7" spans="2:13" ht="15.75" x14ac:dyDescent="0.25">
      <c r="B7" s="4" t="s">
        <v>921</v>
      </c>
    </row>
    <row r="8" spans="2:13" x14ac:dyDescent="0.2">
      <c r="B8" s="331" t="s">
        <v>961</v>
      </c>
      <c r="C8" s="76"/>
      <c r="D8" s="76"/>
      <c r="E8" s="76"/>
      <c r="F8" s="76"/>
      <c r="G8" s="76"/>
      <c r="H8" s="76"/>
      <c r="I8" s="76"/>
      <c r="J8" s="76"/>
      <c r="K8" s="76"/>
      <c r="L8" s="76"/>
      <c r="M8" s="76"/>
    </row>
    <row r="9" spans="2:13" ht="56.25" customHeight="1" x14ac:dyDescent="0.2">
      <c r="B9" s="887" t="s">
        <v>965</v>
      </c>
      <c r="C9" s="887"/>
      <c r="D9" s="887"/>
      <c r="E9" s="887"/>
      <c r="F9" s="887"/>
      <c r="G9" s="887"/>
      <c r="H9" s="887"/>
      <c r="I9" s="887"/>
      <c r="J9" s="887"/>
      <c r="K9" s="887"/>
      <c r="L9" s="887"/>
      <c r="M9" s="887"/>
    </row>
    <row r="10" spans="2:13" ht="39.950000000000003" customHeight="1" x14ac:dyDescent="0.2">
      <c r="B10" s="887" t="s">
        <v>960</v>
      </c>
      <c r="C10" s="887"/>
      <c r="D10" s="887"/>
      <c r="E10" s="887"/>
      <c r="F10" s="887"/>
      <c r="G10" s="887"/>
      <c r="H10" s="887"/>
      <c r="I10" s="887"/>
      <c r="J10" s="887"/>
      <c r="K10" s="887"/>
      <c r="L10" s="887"/>
      <c r="M10" s="887"/>
    </row>
    <row r="11" spans="2:13" ht="40.5" customHeight="1" x14ac:dyDescent="0.2">
      <c r="B11" s="887" t="s">
        <v>977</v>
      </c>
      <c r="C11" s="887"/>
      <c r="D11" s="887"/>
      <c r="E11" s="887"/>
      <c r="F11" s="887"/>
      <c r="G11" s="887"/>
      <c r="H11" s="887"/>
      <c r="I11" s="887"/>
      <c r="J11" s="887"/>
      <c r="K11" s="887"/>
      <c r="L11" s="887"/>
      <c r="M11" s="887"/>
    </row>
    <row r="12" spans="2:13" ht="27.75" customHeight="1" x14ac:dyDescent="0.2">
      <c r="B12" s="887" t="s">
        <v>962</v>
      </c>
      <c r="C12" s="887"/>
      <c r="D12" s="887"/>
      <c r="E12" s="887"/>
      <c r="F12" s="887"/>
      <c r="G12" s="887"/>
      <c r="H12" s="887"/>
      <c r="I12" s="887"/>
      <c r="J12" s="887"/>
      <c r="K12" s="887"/>
      <c r="L12" s="887"/>
      <c r="M12" s="887"/>
    </row>
    <row r="13" spans="2:13" ht="29.25" customHeight="1" x14ac:dyDescent="0.2">
      <c r="B13" s="887" t="s">
        <v>963</v>
      </c>
      <c r="C13" s="887"/>
      <c r="D13" s="887"/>
      <c r="E13" s="887"/>
      <c r="F13" s="887"/>
      <c r="G13" s="887"/>
      <c r="H13" s="887"/>
      <c r="I13" s="887"/>
      <c r="J13" s="887"/>
      <c r="K13" s="887"/>
      <c r="L13" s="887"/>
      <c r="M13" s="887"/>
    </row>
    <row r="14" spans="2:13" ht="38.25" customHeight="1" x14ac:dyDescent="0.2">
      <c r="B14" s="886" t="s">
        <v>964</v>
      </c>
      <c r="C14" s="886"/>
      <c r="D14" s="886"/>
      <c r="E14" s="886"/>
      <c r="F14" s="886"/>
      <c r="G14" s="886"/>
      <c r="H14" s="886"/>
      <c r="I14" s="886"/>
      <c r="J14" s="886"/>
      <c r="K14" s="886"/>
      <c r="L14" s="886"/>
      <c r="M14" s="886"/>
    </row>
    <row r="16" spans="2:13" ht="15.75" x14ac:dyDescent="0.25">
      <c r="B16" s="4" t="s">
        <v>922</v>
      </c>
      <c r="C16" s="2"/>
    </row>
    <row r="17" spans="2:3" x14ac:dyDescent="0.2">
      <c r="B17" s="2" t="s">
        <v>923</v>
      </c>
    </row>
    <row r="18" spans="2:3" x14ac:dyDescent="0.2">
      <c r="B18" s="2" t="s">
        <v>925</v>
      </c>
    </row>
    <row r="19" spans="2:3" x14ac:dyDescent="0.2">
      <c r="B19" s="2" t="s">
        <v>924</v>
      </c>
    </row>
    <row r="20" spans="2:3" x14ac:dyDescent="0.2">
      <c r="B20" s="2" t="s">
        <v>927</v>
      </c>
    </row>
    <row r="21" spans="2:3" x14ac:dyDescent="0.2">
      <c r="B21" t="s">
        <v>926</v>
      </c>
    </row>
    <row r="23" spans="2:3" ht="15.75" x14ac:dyDescent="0.25">
      <c r="B23" s="4" t="s">
        <v>929</v>
      </c>
    </row>
    <row r="24" spans="2:3" x14ac:dyDescent="0.2">
      <c r="B24" s="2" t="s">
        <v>3</v>
      </c>
    </row>
    <row r="25" spans="2:3" x14ac:dyDescent="0.2">
      <c r="C25" s="2" t="s">
        <v>4</v>
      </c>
    </row>
    <row r="26" spans="2:3" x14ac:dyDescent="0.2">
      <c r="C26" s="2" t="s">
        <v>5</v>
      </c>
    </row>
    <row r="27" spans="2:3" x14ac:dyDescent="0.2">
      <c r="C27" s="2" t="s">
        <v>6</v>
      </c>
    </row>
    <row r="28" spans="2:3" x14ac:dyDescent="0.2">
      <c r="C28" s="2" t="s">
        <v>7</v>
      </c>
    </row>
    <row r="30" spans="2:3" ht="15.75" x14ac:dyDescent="0.25">
      <c r="B30" s="4" t="s">
        <v>8</v>
      </c>
    </row>
    <row r="31" spans="2:3" x14ac:dyDescent="0.2">
      <c r="B31" s="2" t="s">
        <v>967</v>
      </c>
    </row>
    <row r="32" spans="2:3" x14ac:dyDescent="0.2">
      <c r="B32" s="2" t="s">
        <v>9</v>
      </c>
    </row>
    <row r="33" spans="2:2" x14ac:dyDescent="0.2">
      <c r="B33" s="2" t="s">
        <v>928</v>
      </c>
    </row>
    <row r="34" spans="2:2" x14ac:dyDescent="0.2">
      <c r="B34" s="2" t="s">
        <v>966</v>
      </c>
    </row>
    <row r="35" spans="2:2" x14ac:dyDescent="0.2">
      <c r="B35" s="2" t="s">
        <v>975</v>
      </c>
    </row>
    <row r="37" spans="2:2" ht="15.75" x14ac:dyDescent="0.25">
      <c r="B37" s="4" t="s">
        <v>930</v>
      </c>
    </row>
    <row r="38" spans="2:2" x14ac:dyDescent="0.2">
      <c r="B38" s="2" t="s">
        <v>978</v>
      </c>
    </row>
    <row r="39" spans="2:2" x14ac:dyDescent="0.2">
      <c r="B39" s="2" t="s">
        <v>10</v>
      </c>
    </row>
    <row r="40" spans="2:2" x14ac:dyDescent="0.2">
      <c r="B40" s="2" t="s">
        <v>11</v>
      </c>
    </row>
    <row r="41" spans="2:2" x14ac:dyDescent="0.2">
      <c r="B41" s="2" t="s">
        <v>12</v>
      </c>
    </row>
    <row r="43" spans="2:2" ht="15.75" x14ac:dyDescent="0.25">
      <c r="B43" s="4" t="s">
        <v>931</v>
      </c>
    </row>
    <row r="44" spans="2:2" x14ac:dyDescent="0.2">
      <c r="B44" t="s">
        <v>944</v>
      </c>
    </row>
    <row r="45" spans="2:2" x14ac:dyDescent="0.2">
      <c r="B45" t="s">
        <v>945</v>
      </c>
    </row>
    <row r="46" spans="2:2" x14ac:dyDescent="0.2">
      <c r="B46" s="2" t="s">
        <v>13</v>
      </c>
    </row>
    <row r="47" spans="2:2" x14ac:dyDescent="0.2">
      <c r="B47" s="2" t="s">
        <v>14</v>
      </c>
    </row>
    <row r="49" spans="2:10" ht="15.75" x14ac:dyDescent="0.25">
      <c r="B49" s="4" t="s">
        <v>932</v>
      </c>
    </row>
    <row r="50" spans="2:10" s="15" customFormat="1" ht="12.75" customHeight="1" x14ac:dyDescent="0.2">
      <c r="B50" s="770" t="s">
        <v>954</v>
      </c>
      <c r="C50" s="770"/>
      <c r="D50" s="770"/>
      <c r="E50" s="770"/>
      <c r="F50" s="770"/>
      <c r="G50" s="770"/>
      <c r="H50" s="770"/>
      <c r="I50" s="770"/>
      <c r="J50" s="770"/>
    </row>
    <row r="51" spans="2:10" s="15" customFormat="1" ht="12.75" customHeight="1" x14ac:dyDescent="0.2">
      <c r="B51" s="770" t="s">
        <v>955</v>
      </c>
      <c r="C51" s="770"/>
      <c r="D51" s="770"/>
      <c r="E51" s="770"/>
      <c r="F51" s="770"/>
      <c r="G51" s="770"/>
      <c r="H51" s="770"/>
      <c r="I51" s="770"/>
      <c r="J51" s="770"/>
    </row>
    <row r="52" spans="2:10" x14ac:dyDescent="0.2">
      <c r="B52" s="2" t="s">
        <v>15</v>
      </c>
    </row>
    <row r="53" spans="2:10" x14ac:dyDescent="0.2">
      <c r="B53" s="2" t="s">
        <v>16</v>
      </c>
    </row>
    <row r="54" spans="2:10" x14ac:dyDescent="0.2">
      <c r="B54" s="2" t="s">
        <v>17</v>
      </c>
    </row>
    <row r="57" spans="2:10" ht="18" x14ac:dyDescent="0.25">
      <c r="B57" s="1" t="s">
        <v>18</v>
      </c>
    </row>
    <row r="59" spans="2:10" ht="15.75" x14ac:dyDescent="0.25">
      <c r="B59" s="4" t="s">
        <v>932</v>
      </c>
    </row>
    <row r="60" spans="2:10" x14ac:dyDescent="0.2">
      <c r="B60" s="2" t="s">
        <v>19</v>
      </c>
    </row>
    <row r="62" spans="2:10" ht="15.75" x14ac:dyDescent="0.25">
      <c r="B62" s="4" t="s">
        <v>933</v>
      </c>
    </row>
    <row r="63" spans="2:10" x14ac:dyDescent="0.2">
      <c r="B63" s="2" t="s">
        <v>20</v>
      </c>
    </row>
    <row r="64" spans="2:10" x14ac:dyDescent="0.2">
      <c r="B64" s="2" t="s">
        <v>21</v>
      </c>
    </row>
    <row r="66" spans="2:4" ht="15.75" x14ac:dyDescent="0.25">
      <c r="B66" s="4" t="s">
        <v>934</v>
      </c>
    </row>
    <row r="67" spans="2:4" x14ac:dyDescent="0.2">
      <c r="B67" s="2" t="s">
        <v>22</v>
      </c>
    </row>
    <row r="69" spans="2:4" ht="18" x14ac:dyDescent="0.25">
      <c r="B69" s="1" t="s">
        <v>23</v>
      </c>
    </row>
    <row r="70" spans="2:4" x14ac:dyDescent="0.2">
      <c r="B70" s="2" t="s">
        <v>24</v>
      </c>
    </row>
    <row r="71" spans="2:4" x14ac:dyDescent="0.2">
      <c r="B71" s="2" t="s">
        <v>25</v>
      </c>
    </row>
    <row r="72" spans="2:4" x14ac:dyDescent="0.2">
      <c r="B72" s="2" t="s">
        <v>26</v>
      </c>
    </row>
    <row r="73" spans="2:4" x14ac:dyDescent="0.2">
      <c r="B73" s="2"/>
    </row>
    <row r="74" spans="2:4" ht="18" x14ac:dyDescent="0.25">
      <c r="B74" s="1" t="s">
        <v>935</v>
      </c>
    </row>
    <row r="76" spans="2:4" x14ac:dyDescent="0.2">
      <c r="B76" t="s">
        <v>28</v>
      </c>
    </row>
    <row r="77" spans="2:4" x14ac:dyDescent="0.2">
      <c r="B77" s="2" t="s">
        <v>29</v>
      </c>
    </row>
    <row r="78" spans="2:4" x14ac:dyDescent="0.2">
      <c r="B78" s="2" t="s">
        <v>27</v>
      </c>
    </row>
    <row r="79" spans="2:4" x14ac:dyDescent="0.2">
      <c r="B79" s="2" t="s">
        <v>30</v>
      </c>
    </row>
    <row r="80" spans="2:4" x14ac:dyDescent="0.2">
      <c r="B80" s="2" t="s">
        <v>31</v>
      </c>
      <c r="D80" s="882" t="s">
        <v>1374</v>
      </c>
    </row>
    <row r="81" spans="2:3" x14ac:dyDescent="0.2">
      <c r="B81" s="877" t="s">
        <v>1349</v>
      </c>
    </row>
    <row r="83" spans="2:3" ht="18" x14ac:dyDescent="0.25">
      <c r="B83" s="1" t="s">
        <v>1350</v>
      </c>
    </row>
    <row r="85" spans="2:3" x14ac:dyDescent="0.2">
      <c r="B85" t="s">
        <v>1373</v>
      </c>
    </row>
    <row r="87" spans="2:3" ht="20.25" customHeight="1" thickBot="1" x14ac:dyDescent="0.25">
      <c r="B87" s="883" t="s">
        <v>1351</v>
      </c>
      <c r="C87" s="884" t="s">
        <v>1352</v>
      </c>
    </row>
    <row r="88" spans="2:3" ht="19.5" customHeight="1" x14ac:dyDescent="0.2">
      <c r="B88" s="889" t="s">
        <v>1353</v>
      </c>
      <c r="C88" s="889"/>
    </row>
    <row r="89" spans="2:3" ht="12.75" customHeight="1" x14ac:dyDescent="0.2">
      <c r="B89" s="890" t="s">
        <v>1354</v>
      </c>
      <c r="C89" s="890"/>
    </row>
    <row r="90" spans="2:3" ht="12.75" customHeight="1" x14ac:dyDescent="0.2">
      <c r="B90" s="890" t="s">
        <v>1355</v>
      </c>
      <c r="C90" s="890"/>
    </row>
    <row r="91" spans="2:3" ht="12.75" customHeight="1" x14ac:dyDescent="0.2">
      <c r="B91" s="890" t="s">
        <v>1356</v>
      </c>
      <c r="C91" s="890"/>
    </row>
    <row r="92" spans="2:3" x14ac:dyDescent="0.2">
      <c r="B92" s="890" t="s">
        <v>1357</v>
      </c>
      <c r="C92" s="890"/>
    </row>
    <row r="93" spans="2:3" x14ac:dyDescent="0.2">
      <c r="B93" s="885" t="s">
        <v>1358</v>
      </c>
      <c r="C93" s="885" t="s">
        <v>1359</v>
      </c>
    </row>
    <row r="94" spans="2:3" x14ac:dyDescent="0.2">
      <c r="B94" s="885" t="s">
        <v>1360</v>
      </c>
      <c r="C94" s="885" t="s">
        <v>1361</v>
      </c>
    </row>
    <row r="95" spans="2:3" x14ac:dyDescent="0.2">
      <c r="B95" t="s">
        <v>1362</v>
      </c>
      <c r="C95" s="882" t="s">
        <v>1363</v>
      </c>
    </row>
    <row r="97" spans="2:3" x14ac:dyDescent="0.2">
      <c r="B97" s="878"/>
    </row>
    <row r="98" spans="2:3" ht="13.5" thickBot="1" x14ac:dyDescent="0.25">
      <c r="B98" s="879" t="s">
        <v>1364</v>
      </c>
    </row>
    <row r="99" spans="2:3" ht="19.5" customHeight="1" x14ac:dyDescent="0.2">
      <c r="B99" s="888" t="s">
        <v>1365</v>
      </c>
      <c r="C99" s="888"/>
    </row>
    <row r="100" spans="2:3" x14ac:dyDescent="0.2">
      <c r="B100" s="880" t="s">
        <v>1366</v>
      </c>
    </row>
    <row r="101" spans="2:3" x14ac:dyDescent="0.2">
      <c r="B101" s="880" t="s">
        <v>1367</v>
      </c>
    </row>
    <row r="102" spans="2:3" x14ac:dyDescent="0.2">
      <c r="B102" s="880" t="s">
        <v>1356</v>
      </c>
    </row>
    <row r="103" spans="2:3" x14ac:dyDescent="0.2">
      <c r="B103" s="880" t="s">
        <v>1368</v>
      </c>
    </row>
    <row r="104" spans="2:3" x14ac:dyDescent="0.2">
      <c r="B104" s="880" t="s">
        <v>476</v>
      </c>
      <c r="C104" s="881" t="s">
        <v>1371</v>
      </c>
    </row>
    <row r="105" spans="2:3" x14ac:dyDescent="0.2">
      <c r="B105" s="880" t="s">
        <v>1370</v>
      </c>
      <c r="C105" s="881" t="s">
        <v>1372</v>
      </c>
    </row>
    <row r="106" spans="2:3" x14ac:dyDescent="0.2">
      <c r="B106" t="s">
        <v>1362</v>
      </c>
      <c r="C106" s="882" t="s">
        <v>1369</v>
      </c>
    </row>
  </sheetData>
  <sheetProtection algorithmName="SHA-512" hashValue="7xm2TBtwJECpL2EmWbsykhDTh+5S41itB1I5Yyf/pWVxKpXGnw2d+Pdqd04eXiXx8cpCqGtX/y8wSe0PPzZTUQ==" saltValue="NMVzCVFx5oClyemWJaYX2Q==" spinCount="100000" sheet="1" objects="1" scenarios="1"/>
  <customSheetViews>
    <customSheetView guid="{2A376E74-9008-4CC4-AF78-5E9088D4FA1D}" showGridLines="0" showRowCol="0">
      <pageMargins left="0.7" right="0.7" top="0.78740157499999996" bottom="0.78740157499999996" header="0.3" footer="0.3"/>
      <pageSetup paperSize="9" orientation="portrait" horizontalDpi="4294967293" verticalDpi="0" r:id="rId1"/>
    </customSheetView>
  </customSheetViews>
  <mergeCells count="12">
    <mergeCell ref="B99:C99"/>
    <mergeCell ref="B88:C88"/>
    <mergeCell ref="B89:C89"/>
    <mergeCell ref="B90:C90"/>
    <mergeCell ref="B91:C91"/>
    <mergeCell ref="B92:C92"/>
    <mergeCell ref="B14:M14"/>
    <mergeCell ref="B9:M9"/>
    <mergeCell ref="B10:M10"/>
    <mergeCell ref="B11:M11"/>
    <mergeCell ref="B12:M12"/>
    <mergeCell ref="B13:M13"/>
  </mergeCells>
  <hyperlinks>
    <hyperlink ref="C95" r:id="rId2" display="mailto:lucie.fauquet@admin.vs.ch"/>
    <hyperlink ref="C106" r:id="rId3" display="mailto:daniel.obrist@admin.vs.ch"/>
    <hyperlink ref="D80" r:id="rId4"/>
  </hyperlinks>
  <pageMargins left="0.7" right="0.7" top="0.78740157499999996" bottom="0.78740157499999996" header="0.3" footer="0.3"/>
  <pageSetup paperSize="9" orientation="portrait" horizontalDpi="4294967293" verticalDpi="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T154"/>
  <sheetViews>
    <sheetView showGridLines="0" showRowColHeaders="0" topLeftCell="A85" zoomScaleNormal="100" workbookViewId="0"/>
  </sheetViews>
  <sheetFormatPr baseColWidth="10" defaultColWidth="0" defaultRowHeight="12.75" zeroHeight="1" x14ac:dyDescent="0.2"/>
  <cols>
    <col min="1" max="1" width="15.7109375" style="287" customWidth="1"/>
    <col min="2" max="2" width="48.42578125" style="220" hidden="1" customWidth="1"/>
    <col min="3" max="3" width="9.7109375" style="220" hidden="1" customWidth="1"/>
    <col min="4" max="4" width="2.7109375" style="220" customWidth="1"/>
    <col min="5" max="5" width="2.7109375" style="221" customWidth="1"/>
    <col min="6" max="6" width="15.7109375" style="221" customWidth="1"/>
    <col min="7" max="8" width="18.7109375" style="221" customWidth="1"/>
    <col min="9" max="9" width="19.7109375" style="221" customWidth="1"/>
    <col min="10" max="10" width="15.7109375" style="221" customWidth="1"/>
    <col min="11" max="11" width="4.42578125" style="221" customWidth="1"/>
    <col min="12" max="12" width="17.42578125" style="221" customWidth="1"/>
    <col min="13" max="13" width="19.5703125" style="221" customWidth="1"/>
    <col min="14" max="14" width="20.7109375" style="221" customWidth="1"/>
    <col min="15" max="16" width="2.7109375" style="221" customWidth="1"/>
    <col min="17" max="17" width="15.7109375" style="287" customWidth="1"/>
    <col min="18" max="16384" width="11.42578125" style="221" hidden="1"/>
  </cols>
  <sheetData>
    <row r="1" spans="2:16" ht="15" customHeight="1" x14ac:dyDescent="0.2">
      <c r="D1" s="264"/>
      <c r="E1" s="253"/>
      <c r="F1" s="253"/>
      <c r="G1" s="253"/>
      <c r="H1" s="253"/>
      <c r="I1" s="253"/>
      <c r="J1" s="253"/>
      <c r="K1" s="253"/>
      <c r="L1" s="253"/>
      <c r="M1" s="253"/>
      <c r="N1" s="253"/>
      <c r="O1" s="253"/>
      <c r="P1" s="253"/>
    </row>
    <row r="2" spans="2:16" ht="20.25" x14ac:dyDescent="0.3">
      <c r="D2" s="264"/>
      <c r="E2" s="253"/>
      <c r="F2" s="253"/>
      <c r="G2" s="940" t="str">
        <f>INDEX(Texte,1,$N$2)</f>
        <v>Abschätzung der Gewässerbelastung durch Fischzuchtanlagen</v>
      </c>
      <c r="H2" s="940"/>
      <c r="I2" s="940"/>
      <c r="J2" s="940"/>
      <c r="K2" s="940"/>
      <c r="L2" s="940"/>
      <c r="M2" s="940"/>
      <c r="N2" s="852">
        <v>1</v>
      </c>
      <c r="O2" s="253"/>
      <c r="P2" s="253"/>
    </row>
    <row r="3" spans="2:16" ht="15" customHeight="1" x14ac:dyDescent="0.2">
      <c r="D3" s="264"/>
      <c r="E3" s="253"/>
      <c r="F3" s="253"/>
      <c r="G3" s="253"/>
      <c r="H3" s="253"/>
      <c r="I3" s="253"/>
      <c r="J3" s="253"/>
      <c r="K3" s="253"/>
      <c r="L3" s="253"/>
      <c r="M3" s="253"/>
      <c r="N3" s="253"/>
      <c r="O3" s="253"/>
      <c r="P3" s="253"/>
    </row>
    <row r="4" spans="2:16" ht="15" customHeight="1" thickBot="1" x14ac:dyDescent="0.3">
      <c r="B4" s="222" t="s">
        <v>508</v>
      </c>
      <c r="D4" s="264"/>
      <c r="E4" s="253"/>
      <c r="F4" s="254" t="str">
        <f>INDEX(Texte,2,$N$2)</f>
        <v>1. Adresse:</v>
      </c>
      <c r="G4" s="253"/>
      <c r="H4" s="253"/>
      <c r="I4" s="253"/>
      <c r="J4" s="253"/>
      <c r="K4" s="253"/>
      <c r="L4" s="253"/>
      <c r="M4" s="253"/>
      <c r="N4" s="253"/>
      <c r="O4" s="253"/>
      <c r="P4" s="253"/>
    </row>
    <row r="5" spans="2:16" ht="15" customHeight="1" x14ac:dyDescent="0.2">
      <c r="B5" s="223" t="s">
        <v>698</v>
      </c>
      <c r="D5" s="264"/>
      <c r="E5" s="253"/>
      <c r="F5" s="253"/>
      <c r="G5" s="253"/>
      <c r="H5" s="253"/>
      <c r="I5" s="253"/>
      <c r="J5" s="253"/>
      <c r="K5" s="253"/>
      <c r="L5" s="843" t="str">
        <f>INDEX(Texte,11,$N$2)</f>
        <v>Legende</v>
      </c>
      <c r="M5" s="260"/>
      <c r="N5" s="261"/>
      <c r="O5" s="253"/>
      <c r="P5" s="253"/>
    </row>
    <row r="6" spans="2:16" ht="15" customHeight="1" x14ac:dyDescent="0.2">
      <c r="C6" s="223">
        <f>IF(G6&gt;"",1,0)</f>
        <v>0</v>
      </c>
      <c r="D6" s="264"/>
      <c r="E6" s="253"/>
      <c r="F6" s="255" t="str">
        <f>INDEX(Texte,3,$N$2)</f>
        <v>Name:</v>
      </c>
      <c r="G6" s="956"/>
      <c r="H6" s="957"/>
      <c r="I6" s="257"/>
      <c r="J6" s="257"/>
      <c r="K6" s="257"/>
      <c r="L6" s="225"/>
      <c r="M6" s="262" t="str">
        <f>INDEX(Texte,12,$N$2)</f>
        <v>diese Felder müssen ausgefüllt werden</v>
      </c>
      <c r="N6" s="274"/>
      <c r="O6" s="253"/>
      <c r="P6" s="253"/>
    </row>
    <row r="7" spans="2:16" ht="15" customHeight="1" x14ac:dyDescent="0.2">
      <c r="C7" s="223">
        <f>IF(G7&gt;"",1,0)</f>
        <v>0</v>
      </c>
      <c r="D7" s="264"/>
      <c r="E7" s="253"/>
      <c r="F7" s="255" t="str">
        <f>INDEX(Texte,4,$N$2)</f>
        <v>Strasse:</v>
      </c>
      <c r="G7" s="956"/>
      <c r="H7" s="957"/>
      <c r="I7" s="257"/>
      <c r="J7" s="257"/>
      <c r="K7" s="257"/>
      <c r="L7" s="853"/>
      <c r="M7" s="262" t="str">
        <f>INDEX(Texte,13,$N$2)</f>
        <v>diese Felder haben eine Auswahlliste</v>
      </c>
      <c r="N7" s="274"/>
      <c r="O7" s="253"/>
      <c r="P7" s="253"/>
    </row>
    <row r="8" spans="2:16" ht="15" customHeight="1" x14ac:dyDescent="0.2">
      <c r="C8" s="223">
        <f>IF(G8&gt;0,IF(I8&gt;"",2,1),0)</f>
        <v>0</v>
      </c>
      <c r="D8" s="264"/>
      <c r="E8" s="253"/>
      <c r="F8" s="255" t="str">
        <f>INDEX(Texte,5,$N$2)</f>
        <v>PLZ:</v>
      </c>
      <c r="G8" s="226"/>
      <c r="H8" s="255" t="str">
        <f>INDEX(Texte,6,$N$2)</f>
        <v>Ort:</v>
      </c>
      <c r="I8" s="956"/>
      <c r="J8" s="957"/>
      <c r="K8" s="258"/>
      <c r="L8" s="227"/>
      <c r="M8" s="262" t="str">
        <f>INDEX(Texte,15,$N$2)</f>
        <v>diese Felder können ausgefüllt werden</v>
      </c>
      <c r="N8" s="274"/>
      <c r="O8" s="253"/>
      <c r="P8" s="253"/>
    </row>
    <row r="9" spans="2:16" ht="15" customHeight="1" x14ac:dyDescent="0.2">
      <c r="C9" s="223">
        <f>IF(G9&gt;"",1,0)</f>
        <v>0</v>
      </c>
      <c r="D9" s="264"/>
      <c r="E9" s="253"/>
      <c r="F9" s="255" t="str">
        <f>INDEX(Texte,7,$N$2)</f>
        <v>Tel.</v>
      </c>
      <c r="G9" s="228"/>
      <c r="H9" s="255" t="str">
        <f>INDEX(Texte,8,$N$2)</f>
        <v>Handy:</v>
      </c>
      <c r="I9" s="229"/>
      <c r="J9" s="257"/>
      <c r="K9" s="257"/>
      <c r="L9" s="230"/>
      <c r="M9" s="262" t="str">
        <f>INDEX(Texte,16,$N$2)</f>
        <v>Erläuterungen oder Berechnungsresultate</v>
      </c>
      <c r="N9" s="274"/>
      <c r="O9" s="253"/>
      <c r="P9" s="253"/>
    </row>
    <row r="10" spans="2:16" ht="15" customHeight="1" thickBot="1" x14ac:dyDescent="0.25">
      <c r="C10" s="223">
        <f>IF(G10&gt;"",1,0)</f>
        <v>0</v>
      </c>
      <c r="D10" s="264"/>
      <c r="E10" s="253"/>
      <c r="F10" s="255" t="str">
        <f>INDEX(Texte,9,$N$2)</f>
        <v>Standort Anlage:</v>
      </c>
      <c r="G10" s="958"/>
      <c r="H10" s="959"/>
      <c r="I10" s="959"/>
      <c r="J10" s="960"/>
      <c r="K10" s="259"/>
      <c r="L10" s="231"/>
      <c r="M10" s="262" t="str">
        <f>INDEX(Texte,17,$N$2)</f>
        <v>zusätzliche Auflagen</v>
      </c>
      <c r="N10" s="274"/>
      <c r="O10" s="253"/>
      <c r="P10" s="253"/>
    </row>
    <row r="11" spans="2:16" ht="15" customHeight="1" thickBot="1" x14ac:dyDescent="0.25">
      <c r="B11" s="826" t="s">
        <v>1026</v>
      </c>
      <c r="C11" s="826">
        <f>IFERROR(MATCH(G11,EZSee,0),0)</f>
        <v>1</v>
      </c>
      <c r="D11" s="264"/>
      <c r="E11" s="253"/>
      <c r="F11" s="255" t="str">
        <f>INDEX(Texte,10,$N$2)</f>
        <v>Seeeinzugsgebiet:</v>
      </c>
      <c r="G11" s="966" t="str">
        <f>INDEX(EZSee,C14,1)</f>
        <v>nicht im Einzugsgebiet der Mittellandseen des Kantons LU</v>
      </c>
      <c r="H11" s="967"/>
      <c r="I11" s="967"/>
      <c r="J11" s="827"/>
      <c r="K11" s="259"/>
      <c r="L11" s="233"/>
      <c r="M11" s="263" t="str">
        <f>INDEX(Texte,18,$N$2)</f>
        <v>Hinweise</v>
      </c>
      <c r="N11" s="275"/>
      <c r="O11" s="253"/>
      <c r="P11" s="253"/>
    </row>
    <row r="12" spans="2:16" ht="15" customHeight="1" thickBot="1" x14ac:dyDescent="0.25">
      <c r="B12" s="223" t="s">
        <v>1004</v>
      </c>
      <c r="C12" s="232">
        <f>SUM(C6:C11)</f>
        <v>1</v>
      </c>
      <c r="D12" s="264"/>
      <c r="E12" s="253"/>
      <c r="F12" s="256"/>
      <c r="G12" s="968" t="str">
        <f>INDEX(Texte,22,$N$2)</f>
        <v>ist eine P-Fällung nötig ab kg/Jahr:</v>
      </c>
      <c r="H12" s="969"/>
      <c r="I12" s="969"/>
      <c r="J12" s="828">
        <f>INDEX(P_See,C11,3)</f>
        <v>0</v>
      </c>
      <c r="K12" s="259"/>
      <c r="L12" s="281">
        <f>INDEX(Texte,14,$N$2)</f>
        <v>0</v>
      </c>
      <c r="M12" s="281"/>
      <c r="N12" s="824"/>
      <c r="O12" s="253"/>
      <c r="P12" s="253"/>
    </row>
    <row r="13" spans="2:16" ht="15" customHeight="1" x14ac:dyDescent="0.2">
      <c r="B13" s="223"/>
      <c r="C13" s="232"/>
      <c r="D13" s="264"/>
      <c r="E13" s="253"/>
      <c r="F13" s="256"/>
      <c r="G13" s="961" t="str">
        <f>INDEX(Texte,23,$N$2)</f>
        <v>Es sind noch nicht alle Muss-Felder ausgefüllt</v>
      </c>
      <c r="H13" s="961"/>
      <c r="I13" s="961"/>
      <c r="J13" s="961"/>
      <c r="K13" s="259"/>
      <c r="L13" s="273"/>
      <c r="M13" s="281"/>
      <c r="N13" s="824"/>
      <c r="O13" s="253"/>
      <c r="P13" s="253"/>
    </row>
    <row r="14" spans="2:16" ht="13.5" customHeight="1" thickBot="1" x14ac:dyDescent="0.25">
      <c r="B14" s="220" t="s">
        <v>1260</v>
      </c>
      <c r="C14" s="857">
        <v>1</v>
      </c>
      <c r="D14" s="253"/>
      <c r="E14" s="253"/>
      <c r="F14" s="253"/>
      <c r="G14" s="253"/>
      <c r="H14" s="253"/>
      <c r="I14" s="253"/>
      <c r="J14" s="253"/>
      <c r="K14" s="253"/>
      <c r="L14" s="253"/>
      <c r="M14" s="253"/>
      <c r="N14" s="253"/>
      <c r="O14" s="253"/>
      <c r="P14" s="253"/>
    </row>
    <row r="15" spans="2:16" ht="13.5" customHeight="1" thickTop="1" x14ac:dyDescent="0.2">
      <c r="D15" s="285"/>
      <c r="E15" s="277"/>
      <c r="F15" s="277"/>
      <c r="G15" s="277"/>
      <c r="H15" s="277"/>
      <c r="I15" s="277"/>
      <c r="J15" s="277"/>
      <c r="K15" s="277"/>
      <c r="L15" s="278"/>
      <c r="M15" s="277"/>
      <c r="N15" s="277"/>
      <c r="O15" s="277"/>
      <c r="P15" s="277"/>
    </row>
    <row r="16" spans="2:16" ht="15" customHeight="1" x14ac:dyDescent="0.25">
      <c r="D16" s="264"/>
      <c r="E16" s="253"/>
      <c r="F16" s="254" t="str">
        <f>INDEX(Texte,24,$N$2)</f>
        <v>2. Angaben zur Anlage</v>
      </c>
      <c r="G16" s="253"/>
      <c r="H16" s="253"/>
      <c r="I16" s="253"/>
      <c r="J16" s="253"/>
      <c r="K16" s="253"/>
      <c r="L16" s="253"/>
      <c r="M16" s="253"/>
      <c r="N16" s="253"/>
      <c r="O16" s="253"/>
      <c r="P16" s="253"/>
    </row>
    <row r="17" spans="2:20" ht="15" customHeight="1" x14ac:dyDescent="0.2">
      <c r="D17" s="264"/>
      <c r="E17" s="253"/>
      <c r="F17" s="253"/>
      <c r="G17" s="253"/>
      <c r="H17" s="253"/>
      <c r="I17" s="253"/>
      <c r="J17" s="253"/>
      <c r="K17" s="253"/>
      <c r="L17" s="253"/>
      <c r="M17" s="253"/>
      <c r="N17" s="253"/>
      <c r="O17" s="253"/>
      <c r="P17" s="253"/>
    </row>
    <row r="18" spans="2:20" ht="36.950000000000003" customHeight="1" x14ac:dyDescent="0.2">
      <c r="B18" s="234" t="s">
        <v>515</v>
      </c>
      <c r="C18" s="234">
        <f>VLOOKUP(G18,Anlagetext,10)</f>
        <v>3</v>
      </c>
      <c r="D18" s="264"/>
      <c r="E18" s="253"/>
      <c r="F18" s="276" t="str">
        <f>INDEX(Texte,25,$N$2)</f>
        <v>Anlagetyp auswählen :</v>
      </c>
      <c r="G18" s="973" t="str">
        <f>INDEX(Anlagetyp,C19,1)</f>
        <v>c) Kreislaufanlage</v>
      </c>
      <c r="H18" s="974"/>
      <c r="I18" s="975" t="str">
        <f>VLOOKUP(G18,Anlagetext,2)</f>
        <v>Anlagen mit Behältersystemen in denen das Wasser im Kreislauf geführt wird, mit Biofiltern inkl. Denitrifikation zur Wasseraufbereitung. Die Feststoffabtrennung und -Entwässerung wird automatisch berücksichtigt</v>
      </c>
      <c r="J18" s="975"/>
      <c r="K18" s="975"/>
      <c r="L18" s="975"/>
      <c r="M18" s="975"/>
      <c r="N18" s="975"/>
      <c r="O18" s="253"/>
      <c r="P18" s="253"/>
    </row>
    <row r="19" spans="2:20" ht="36.950000000000003" customHeight="1" x14ac:dyDescent="0.2">
      <c r="B19" s="220" t="s">
        <v>1261</v>
      </c>
      <c r="C19" s="857">
        <v>3</v>
      </c>
      <c r="D19" s="264"/>
      <c r="E19" s="253"/>
      <c r="F19" s="276" t="str">
        <f>INDEX(Texte,35,$N$2)</f>
        <v>Zuchtart auswählen:</v>
      </c>
      <c r="G19" s="980" t="str">
        <f>INDEX(Zuchtart,C20,1)</f>
        <v>Kommerzielle Zucht</v>
      </c>
      <c r="H19" s="981"/>
      <c r="I19" s="976" t="str">
        <f>VLOOKUP(G19,Zuchttext,2)</f>
        <v>Die Betreiber von kommerziellen Fischzuchten müssen entsprechende Ausbildungskurse besuchen.</v>
      </c>
      <c r="J19" s="976"/>
      <c r="K19" s="976"/>
      <c r="L19" s="976"/>
      <c r="M19" s="976"/>
      <c r="N19" s="976"/>
      <c r="O19" s="253"/>
      <c r="P19" s="253"/>
    </row>
    <row r="20" spans="2:20" ht="36.950000000000003" customHeight="1" x14ac:dyDescent="0.2">
      <c r="B20" s="220" t="s">
        <v>1262</v>
      </c>
      <c r="C20" s="857">
        <v>1</v>
      </c>
      <c r="D20" s="264"/>
      <c r="E20" s="253"/>
      <c r="F20" s="253"/>
      <c r="G20" s="253"/>
      <c r="H20" s="264"/>
      <c r="I20" s="962" t="str">
        <f>VLOOKUP(G18,Anlagetext,4)</f>
        <v/>
      </c>
      <c r="J20" s="963"/>
      <c r="K20" s="963"/>
      <c r="L20" s="963"/>
      <c r="M20" s="963"/>
      <c r="N20" s="964"/>
      <c r="O20" s="253"/>
      <c r="P20" s="253"/>
    </row>
    <row r="21" spans="2:20" ht="13.5" customHeight="1" thickBot="1" x14ac:dyDescent="0.25">
      <c r="D21" s="264"/>
      <c r="E21" s="253"/>
      <c r="F21" s="253"/>
      <c r="G21" s="253"/>
      <c r="H21" s="264"/>
      <c r="I21" s="265"/>
      <c r="J21" s="266"/>
      <c r="K21" s="266"/>
      <c r="L21" s="266"/>
      <c r="M21" s="266"/>
      <c r="N21" s="266"/>
      <c r="O21" s="253"/>
      <c r="P21" s="253"/>
    </row>
    <row r="22" spans="2:20" ht="13.5" customHeight="1" thickTop="1" x14ac:dyDescent="0.2">
      <c r="D22" s="285"/>
      <c r="E22" s="277"/>
      <c r="F22" s="277"/>
      <c r="G22" s="277"/>
      <c r="H22" s="277"/>
      <c r="I22" s="277"/>
      <c r="J22" s="277"/>
      <c r="K22" s="277"/>
      <c r="L22" s="277"/>
      <c r="M22" s="277"/>
      <c r="N22" s="277"/>
      <c r="O22" s="277"/>
      <c r="P22" s="277"/>
    </row>
    <row r="23" spans="2:20" ht="15" customHeight="1" x14ac:dyDescent="0.25">
      <c r="D23" s="264"/>
      <c r="E23" s="253"/>
      <c r="F23" s="254" t="str">
        <f>INDEX(Texte,40,$N$2)</f>
        <v>3. Angaben zur Fischzucht</v>
      </c>
      <c r="G23" s="253"/>
      <c r="H23" s="253"/>
      <c r="I23" s="253"/>
      <c r="J23" s="253"/>
      <c r="K23" s="253"/>
      <c r="L23" s="253"/>
      <c r="M23" s="253"/>
      <c r="N23" s="253"/>
      <c r="O23" s="253"/>
      <c r="P23" s="253"/>
    </row>
    <row r="24" spans="2:20" ht="15" customHeight="1" x14ac:dyDescent="0.2">
      <c r="D24" s="264"/>
      <c r="E24" s="253"/>
      <c r="F24" s="253"/>
      <c r="G24" s="253"/>
      <c r="H24" s="253"/>
      <c r="I24" s="253"/>
      <c r="J24" s="253"/>
      <c r="K24" s="253"/>
      <c r="L24" s="253"/>
      <c r="M24" s="253"/>
      <c r="N24" s="253"/>
      <c r="O24" s="253"/>
      <c r="P24" s="253"/>
    </row>
    <row r="25" spans="2:20" ht="15" customHeight="1" x14ac:dyDescent="0.2">
      <c r="C25" s="223">
        <f>IF(J25&gt;0,1,0)</f>
        <v>0</v>
      </c>
      <c r="D25" s="264"/>
      <c r="E25" s="253"/>
      <c r="F25" s="253" t="str">
        <f>INDEX(Texte,41,$N$2)</f>
        <v>Fischart (z.B. Forelle, Zander, Lachs etc.)</v>
      </c>
      <c r="G25" s="253"/>
      <c r="H25" s="253"/>
      <c r="I25" s="253"/>
      <c r="J25" s="977"/>
      <c r="K25" s="978"/>
      <c r="L25" s="979"/>
      <c r="M25" s="253"/>
      <c r="N25" s="253"/>
      <c r="O25" s="253"/>
      <c r="P25" s="253"/>
    </row>
    <row r="26" spans="2:20" ht="15" customHeight="1" x14ac:dyDescent="0.2">
      <c r="B26" s="223" t="s">
        <v>698</v>
      </c>
      <c r="D26" s="264"/>
      <c r="E26" s="253"/>
      <c r="F26" s="253" t="str">
        <f>INDEX(Texte,42,$N$2)</f>
        <v>max. Anzahl Fische in der Anlage</v>
      </c>
      <c r="G26" s="253"/>
      <c r="H26" s="253"/>
      <c r="I26" s="253" t="str">
        <f>INDEX(Texte,45,$N$2)</f>
        <v>Anzahl</v>
      </c>
      <c r="J26" s="235"/>
      <c r="K26" s="267"/>
      <c r="L26" s="264"/>
      <c r="M26" s="253"/>
      <c r="N26" s="253"/>
      <c r="O26" s="253"/>
      <c r="P26" s="253"/>
    </row>
    <row r="27" spans="2:20" ht="15" customHeight="1" x14ac:dyDescent="0.2">
      <c r="C27" s="223">
        <f>IF(J27&gt;0,1,0)</f>
        <v>0</v>
      </c>
      <c r="D27" s="264"/>
      <c r="E27" s="253"/>
      <c r="F27" s="253" t="str">
        <f>INDEX(Texte,43,$N$2)</f>
        <v>produzierte Fischmenge pro Jahr</v>
      </c>
      <c r="G27" s="253"/>
      <c r="H27" s="253"/>
      <c r="I27" s="253" t="s">
        <v>94</v>
      </c>
      <c r="J27" s="237"/>
      <c r="K27" s="267"/>
      <c r="L27" s="965" t="str">
        <f>INDEX(Texte,46,$N$2)</f>
        <v>Das max. Fischgewicht müsste bei Zander oder Tilapia höher sein.</v>
      </c>
      <c r="M27" s="965"/>
      <c r="N27" s="965"/>
      <c r="O27" s="253"/>
      <c r="P27" s="253"/>
    </row>
    <row r="28" spans="2:20" ht="15" customHeight="1" x14ac:dyDescent="0.2">
      <c r="B28" s="220" t="s">
        <v>514</v>
      </c>
      <c r="C28" s="223">
        <f>IF(J28&gt;0,1,0)</f>
        <v>0</v>
      </c>
      <c r="D28" s="264"/>
      <c r="E28" s="253"/>
      <c r="F28" s="253" t="str">
        <f>INDEX(Texte,44,$N$2)</f>
        <v>maximales Fischgewicht in der Anlage</v>
      </c>
      <c r="G28" s="253"/>
      <c r="H28" s="253"/>
      <c r="I28" s="253" t="s">
        <v>94</v>
      </c>
      <c r="J28" s="237"/>
      <c r="K28" s="267"/>
      <c r="L28" s="965"/>
      <c r="M28" s="965"/>
      <c r="N28" s="965"/>
      <c r="O28" s="253"/>
      <c r="P28" s="253"/>
    </row>
    <row r="29" spans="2:20" ht="15" customHeight="1" x14ac:dyDescent="0.2">
      <c r="C29" s="240"/>
      <c r="D29" s="264"/>
      <c r="E29" s="253"/>
      <c r="F29" s="253"/>
      <c r="G29" s="253"/>
      <c r="H29" s="253"/>
      <c r="I29" s="273"/>
      <c r="J29" s="267"/>
      <c r="K29" s="267"/>
      <c r="L29" s="913"/>
      <c r="M29" s="913"/>
      <c r="N29" s="913"/>
      <c r="O29" s="253"/>
      <c r="P29" s="253"/>
    </row>
    <row r="30" spans="2:20" ht="15" customHeight="1" x14ac:dyDescent="0.2">
      <c r="C30" s="240"/>
      <c r="D30" s="264"/>
      <c r="E30" s="253"/>
      <c r="F30" s="818" t="str">
        <f>INDEX(Texte,47,$N$2)</f>
        <v>Fütterung:</v>
      </c>
      <c r="G30" s="253"/>
      <c r="H30" s="253"/>
      <c r="I30" s="273"/>
      <c r="J30" s="267"/>
      <c r="K30" s="267"/>
      <c r="L30" s="913"/>
      <c r="M30" s="913"/>
      <c r="N30" s="913"/>
      <c r="O30" s="253"/>
      <c r="P30" s="253"/>
    </row>
    <row r="31" spans="2:20" ht="15" customHeight="1" x14ac:dyDescent="0.2">
      <c r="C31" s="223">
        <f>IF(J31&gt;0,1,0)</f>
        <v>0</v>
      </c>
      <c r="D31" s="264"/>
      <c r="E31" s="253"/>
      <c r="F31" s="253" t="str">
        <f>INDEX(Texte,48,$N$2)</f>
        <v>Energiegehalt des eingesetzten Futters</v>
      </c>
      <c r="G31" s="253"/>
      <c r="H31" s="253"/>
      <c r="I31" s="253" t="s">
        <v>36</v>
      </c>
      <c r="J31" s="237"/>
      <c r="K31" s="267"/>
      <c r="L31" s="257" t="str">
        <f>INDEX(Texte,49,$N$2)</f>
        <v>(Hochenergiefutter ca. 23.4 MJ/kg)</v>
      </c>
      <c r="M31" s="253"/>
      <c r="N31" s="253"/>
      <c r="O31" s="253"/>
      <c r="P31" s="253"/>
    </row>
    <row r="32" spans="2:20" ht="15" customHeight="1" x14ac:dyDescent="0.2">
      <c r="C32" s="223">
        <f>IF(J32&gt;0,1,0)</f>
        <v>0</v>
      </c>
      <c r="D32" s="264"/>
      <c r="E32" s="253"/>
      <c r="F32" s="253" t="str">
        <f>INDEX(Texte,51,$N$2)</f>
        <v>Maximale eingesetzte Futtermenge pro Tag</v>
      </c>
      <c r="G32" s="253"/>
      <c r="H32" s="253"/>
      <c r="I32" s="253" t="str">
        <f>INDEX(Texte,50,$N$2)</f>
        <v>kg/Tag</v>
      </c>
      <c r="J32" s="817">
        <f>L32</f>
        <v>0</v>
      </c>
      <c r="K32" s="256"/>
      <c r="L32" s="238">
        <f>Grundlagen!U12</f>
        <v>0</v>
      </c>
      <c r="M32" s="257" t="str">
        <f>INDEX(Texte,52,$N$2)</f>
        <v>theoretisch notwendige Futtermenge</v>
      </c>
      <c r="N32" s="816"/>
      <c r="O32" s="253"/>
      <c r="P32" s="253"/>
      <c r="R32" s="242"/>
      <c r="S32" s="242"/>
      <c r="T32" s="242"/>
    </row>
    <row r="33" spans="2:20" ht="15" customHeight="1" x14ac:dyDescent="0.2">
      <c r="D33" s="264"/>
      <c r="E33" s="253"/>
      <c r="F33" s="970" t="str">
        <f>INDEX(Texte,53,$N$2)</f>
        <v xml:space="preserve">Wenn die eingesetzte Futtermenge von der theoretischen Menge abweicht, bitte begründen: </v>
      </c>
      <c r="G33" s="970"/>
      <c r="H33" s="970"/>
      <c r="I33" s="970"/>
      <c r="J33" s="970"/>
      <c r="K33" s="971"/>
      <c r="L33" s="914"/>
      <c r="M33" s="915"/>
      <c r="N33" s="916"/>
      <c r="O33" s="253"/>
      <c r="P33" s="253"/>
      <c r="R33" s="242"/>
      <c r="S33" s="242"/>
      <c r="T33" s="242"/>
    </row>
    <row r="34" spans="2:20" ht="15" customHeight="1" x14ac:dyDescent="0.2">
      <c r="B34" s="220" t="s">
        <v>994</v>
      </c>
      <c r="C34" s="223">
        <f>IF(L32&lt;=J32,1,IF(L33&gt;"",1,0))</f>
        <v>1</v>
      </c>
      <c r="D34" s="264"/>
      <c r="E34" s="253"/>
      <c r="F34" s="970"/>
      <c r="G34" s="970"/>
      <c r="H34" s="970"/>
      <c r="I34" s="970"/>
      <c r="J34" s="970"/>
      <c r="K34" s="971"/>
      <c r="L34" s="917"/>
      <c r="M34" s="918"/>
      <c r="N34" s="919"/>
      <c r="O34" s="253"/>
      <c r="P34" s="253"/>
      <c r="R34" s="242"/>
      <c r="S34" s="242"/>
      <c r="T34" s="242"/>
    </row>
    <row r="35" spans="2:20" ht="15" customHeight="1" x14ac:dyDescent="0.2">
      <c r="C35" s="240"/>
      <c r="D35" s="264"/>
      <c r="E35" s="253"/>
      <c r="F35" s="912" t="str">
        <f>INDEX(Texte,54,$N$2)</f>
        <v>Es ist die voraussichtliche maximale Belastung des Gewässers massgebend, daher muss die maximale Futtermenge eingetragen werden. Den geringeren Futtergaben während der Aufzuchtphase und den Ungenauigkeiten dieser Abschätzung, wird durch die Klasse 'kritisch' Rechnung getragen.</v>
      </c>
      <c r="G35" s="912"/>
      <c r="H35" s="912"/>
      <c r="I35" s="912"/>
      <c r="J35" s="912"/>
      <c r="K35" s="912"/>
      <c r="L35" s="912"/>
      <c r="M35" s="912"/>
      <c r="N35" s="912"/>
      <c r="O35" s="253"/>
      <c r="P35" s="253"/>
      <c r="R35" s="242"/>
      <c r="S35" s="242"/>
      <c r="T35" s="242"/>
    </row>
    <row r="36" spans="2:20" ht="15" customHeight="1" x14ac:dyDescent="0.2">
      <c r="C36" s="240"/>
      <c r="D36" s="264"/>
      <c r="E36" s="253"/>
      <c r="F36" s="912"/>
      <c r="G36" s="912"/>
      <c r="H36" s="912"/>
      <c r="I36" s="912"/>
      <c r="J36" s="912"/>
      <c r="K36" s="912"/>
      <c r="L36" s="912"/>
      <c r="M36" s="912"/>
      <c r="N36" s="912"/>
      <c r="O36" s="253"/>
      <c r="P36" s="253"/>
      <c r="R36" s="242"/>
      <c r="S36" s="242"/>
      <c r="T36" s="242"/>
    </row>
    <row r="37" spans="2:20" ht="15" customHeight="1" x14ac:dyDescent="0.2">
      <c r="C37" s="240"/>
      <c r="D37" s="264"/>
      <c r="E37" s="746"/>
      <c r="F37" s="253"/>
      <c r="G37" s="253"/>
      <c r="H37" s="253"/>
      <c r="I37" s="253"/>
      <c r="J37" s="253"/>
      <c r="K37" s="256"/>
      <c r="L37" s="819"/>
      <c r="M37" s="819"/>
      <c r="N37" s="819"/>
      <c r="O37" s="253"/>
      <c r="P37" s="253"/>
      <c r="R37" s="242"/>
      <c r="S37" s="242"/>
      <c r="T37" s="242"/>
    </row>
    <row r="38" spans="2:20" ht="15" customHeight="1" x14ac:dyDescent="0.2">
      <c r="D38" s="264"/>
      <c r="E38" s="253"/>
      <c r="F38" s="818" t="str">
        <f>INDEX(Texte,55,$N$2)</f>
        <v>Anlagengrösse:</v>
      </c>
      <c r="G38" s="253"/>
      <c r="H38" s="253"/>
      <c r="I38" s="253"/>
      <c r="J38" s="253"/>
      <c r="K38" s="267"/>
      <c r="L38" s="264"/>
      <c r="M38" s="816"/>
      <c r="N38" s="816"/>
      <c r="O38" s="253"/>
      <c r="P38" s="253"/>
      <c r="R38" s="242"/>
      <c r="S38" s="242"/>
      <c r="T38" s="242"/>
    </row>
    <row r="39" spans="2:20" ht="15" customHeight="1" x14ac:dyDescent="0.2">
      <c r="B39" s="224"/>
      <c r="C39" s="223">
        <f>IF(J39&gt;0,1,0)</f>
        <v>0</v>
      </c>
      <c r="D39" s="264"/>
      <c r="E39" s="253"/>
      <c r="F39" s="253" t="str">
        <f>INDEX(Texte,56,$N$2)</f>
        <v>Gesamtvolumen aller Fischbecken</v>
      </c>
      <c r="G39" s="253"/>
      <c r="H39" s="253"/>
      <c r="I39" s="253" t="s">
        <v>119</v>
      </c>
      <c r="J39" s="237"/>
      <c r="K39" s="267"/>
      <c r="L39" s="239" t="e">
        <f>J28/J39</f>
        <v>#DIV/0!</v>
      </c>
      <c r="M39" s="257" t="str">
        <f>INDEX(Texte,57,$N$2)</f>
        <v>Besatzdichte in kg/m3</v>
      </c>
      <c r="N39" s="253"/>
      <c r="O39" s="253"/>
      <c r="P39" s="253"/>
      <c r="R39" s="242"/>
      <c r="S39" s="240"/>
      <c r="T39" s="240"/>
    </row>
    <row r="40" spans="2:20" ht="15" customHeight="1" x14ac:dyDescent="0.2">
      <c r="B40" s="224"/>
      <c r="C40" s="240"/>
      <c r="D40" s="264"/>
      <c r="E40" s="253"/>
      <c r="F40" s="253" t="str">
        <f>INDEX(Texte,58,$N$2)</f>
        <v>Gesamtvolumen der Anlage</v>
      </c>
      <c r="G40" s="253"/>
      <c r="H40" s="253"/>
      <c r="I40" s="253" t="s">
        <v>119</v>
      </c>
      <c r="J40" s="235"/>
      <c r="K40" s="267"/>
      <c r="L40" s="253"/>
      <c r="M40" s="253"/>
      <c r="N40" s="253"/>
      <c r="O40" s="253"/>
      <c r="P40" s="253"/>
      <c r="R40" s="242"/>
      <c r="S40" s="240"/>
      <c r="T40" s="240"/>
    </row>
    <row r="41" spans="2:20" ht="15" customHeight="1" x14ac:dyDescent="0.2">
      <c r="B41" s="220" t="s">
        <v>516</v>
      </c>
      <c r="C41" s="223">
        <f>IF(J41&gt;0,1,0)</f>
        <v>0</v>
      </c>
      <c r="D41" s="264"/>
      <c r="E41" s="253"/>
      <c r="F41" s="253" t="str">
        <f>INDEX(Texte,59,$N$2)</f>
        <v>Ablaufwassermenge aus der Anlage</v>
      </c>
      <c r="G41" s="253"/>
      <c r="H41" s="253"/>
      <c r="I41" s="253" t="str">
        <f>INDEX(Texte,60,$N$2)</f>
        <v>m3/Tag</v>
      </c>
      <c r="J41" s="237"/>
      <c r="K41" s="267"/>
      <c r="L41" s="972" t="str">
        <f>INDEX(Texte,61,$N$2)&amp;" = "&amp;(ROUND(J39*0.1,2))&amp;" m3/Tag"</f>
        <v>mindesten 10 % des Volumens = 0 m3/Tag</v>
      </c>
      <c r="M41" s="972"/>
      <c r="N41" s="972"/>
      <c r="O41" s="253"/>
      <c r="P41" s="253"/>
      <c r="R41" s="242"/>
      <c r="S41" s="240"/>
      <c r="T41" s="240"/>
    </row>
    <row r="42" spans="2:20" ht="15" customHeight="1" x14ac:dyDescent="0.2">
      <c r="B42" s="224"/>
      <c r="C42" s="240"/>
      <c r="D42" s="264"/>
      <c r="E42" s="253"/>
      <c r="F42" s="253" t="str">
        <f>INDEX(Texte,62,$N$2)</f>
        <v>Ablaufwassermenge aus der Anlage</v>
      </c>
      <c r="G42" s="253"/>
      <c r="H42" s="253"/>
      <c r="I42" s="253" t="str">
        <f>INDEX(Texte,63,$N$2)</f>
        <v>l/Sekunde</v>
      </c>
      <c r="J42" s="241">
        <f>J41/24/3.6</f>
        <v>0</v>
      </c>
      <c r="K42" s="267"/>
      <c r="L42" s="273"/>
      <c r="M42" s="256"/>
      <c r="N42" s="273"/>
      <c r="O42" s="253"/>
      <c r="P42" s="253"/>
      <c r="R42" s="242"/>
      <c r="S42" s="242"/>
      <c r="T42" s="242"/>
    </row>
    <row r="43" spans="2:20" ht="15" customHeight="1" x14ac:dyDescent="0.2">
      <c r="B43" s="223" t="s">
        <v>1052</v>
      </c>
      <c r="C43" s="232">
        <f>SUM(C25:C41)</f>
        <v>1</v>
      </c>
      <c r="D43" s="264"/>
      <c r="E43" s="253"/>
      <c r="F43" s="253"/>
      <c r="G43" s="253"/>
      <c r="H43" s="253"/>
      <c r="I43" s="253"/>
      <c r="J43" s="253"/>
      <c r="K43" s="253"/>
      <c r="L43" s="281" t="str">
        <f>INDEX(Texte,65,$N$2)</f>
        <v>Berechnung Wassermenge:</v>
      </c>
      <c r="M43" s="273"/>
      <c r="N43" s="253"/>
      <c r="O43" s="253"/>
      <c r="P43" s="253"/>
      <c r="R43" s="242"/>
      <c r="S43" s="242"/>
      <c r="T43" s="242"/>
    </row>
    <row r="44" spans="2:20" ht="13.5" customHeight="1" x14ac:dyDescent="0.2">
      <c r="D44" s="264"/>
      <c r="E44" s="253"/>
      <c r="F44" s="950" t="str">
        <f>INDEX(Texte,64,$N$2)</f>
        <v>Es sind noch nicht alle Muss-Felder ausgefüllt</v>
      </c>
      <c r="G44" s="950"/>
      <c r="H44" s="950"/>
      <c r="I44" s="950"/>
      <c r="J44" s="253"/>
      <c r="K44" s="253"/>
      <c r="L44" s="235"/>
      <c r="M44" s="273" t="str">
        <f>INDEX(Texte,66,$N$2)</f>
        <v>entweder l/min</v>
      </c>
      <c r="N44" s="253"/>
      <c r="O44" s="253"/>
      <c r="P44" s="253"/>
      <c r="R44" s="242"/>
      <c r="S44" s="242"/>
      <c r="T44" s="242"/>
    </row>
    <row r="45" spans="2:20" ht="13.5" customHeight="1" x14ac:dyDescent="0.2">
      <c r="D45" s="264"/>
      <c r="E45" s="745"/>
      <c r="F45" s="253"/>
      <c r="G45" s="253"/>
      <c r="H45" s="253"/>
      <c r="I45" s="253"/>
      <c r="J45" s="253"/>
      <c r="K45" s="253"/>
      <c r="L45" s="235"/>
      <c r="M45" s="273" t="str">
        <f>INDEX(Texte,67,$N$2)</f>
        <v>oder l/s</v>
      </c>
      <c r="N45" s="253"/>
      <c r="O45" s="253"/>
      <c r="P45" s="253"/>
    </row>
    <row r="46" spans="2:20" ht="13.5" customHeight="1" x14ac:dyDescent="0.2">
      <c r="D46" s="264"/>
      <c r="E46" s="253"/>
      <c r="F46" s="253"/>
      <c r="G46" s="253"/>
      <c r="H46" s="253"/>
      <c r="I46" s="253"/>
      <c r="J46" s="253"/>
      <c r="K46" s="253"/>
      <c r="L46" s="815">
        <f>IF(L44&gt;0,L44*60*24/1000,IF(L45&gt;0,L45*24*3.6,0))</f>
        <v>0</v>
      </c>
      <c r="M46" s="820" t="str">
        <f>INDEX(Texte,68,$N$2)</f>
        <v xml:space="preserve"> m3/Tag</v>
      </c>
      <c r="N46" s="253"/>
      <c r="O46" s="253"/>
      <c r="P46" s="253"/>
    </row>
    <row r="47" spans="2:20" ht="13.5" customHeight="1" thickBot="1" x14ac:dyDescent="0.25">
      <c r="D47" s="264"/>
      <c r="E47" s="253"/>
      <c r="F47" s="253"/>
      <c r="G47" s="253"/>
      <c r="H47" s="253"/>
      <c r="I47" s="253"/>
      <c r="J47" s="253"/>
      <c r="K47" s="253"/>
      <c r="L47" s="256"/>
      <c r="M47" s="256"/>
      <c r="N47" s="273"/>
      <c r="O47" s="253"/>
      <c r="P47" s="253"/>
    </row>
    <row r="48" spans="2:20" ht="13.5" customHeight="1" thickTop="1" x14ac:dyDescent="0.2">
      <c r="D48" s="285"/>
      <c r="E48" s="277"/>
      <c r="F48" s="277"/>
      <c r="G48" s="277"/>
      <c r="H48" s="277"/>
      <c r="I48" s="277"/>
      <c r="J48" s="277"/>
      <c r="K48" s="277"/>
      <c r="L48" s="277"/>
      <c r="M48" s="277"/>
      <c r="N48" s="277"/>
      <c r="O48" s="277"/>
      <c r="P48" s="277"/>
    </row>
    <row r="49" spans="2:16" ht="13.5" customHeight="1" x14ac:dyDescent="0.25">
      <c r="D49" s="264"/>
      <c r="E49" s="253"/>
      <c r="F49" s="254" t="str">
        <f>INDEX(Texte,69,$N$2)</f>
        <v>4. Angaben zum Gewässer</v>
      </c>
      <c r="G49" s="253"/>
      <c r="H49" s="253"/>
      <c r="I49" s="253"/>
      <c r="J49" s="253"/>
      <c r="K49" s="253"/>
      <c r="L49" s="253"/>
      <c r="M49" s="253"/>
      <c r="N49" s="253"/>
      <c r="O49" s="253"/>
      <c r="P49" s="253"/>
    </row>
    <row r="50" spans="2:16" ht="13.5" customHeight="1" x14ac:dyDescent="0.2">
      <c r="D50" s="264"/>
      <c r="E50" s="253"/>
      <c r="F50" s="253"/>
      <c r="G50" s="253"/>
      <c r="H50" s="253"/>
      <c r="I50" s="253"/>
      <c r="J50" s="253"/>
      <c r="K50" s="253"/>
      <c r="L50" s="253"/>
      <c r="M50" s="253"/>
      <c r="N50" s="253"/>
      <c r="O50" s="253"/>
      <c r="P50" s="253"/>
    </row>
    <row r="51" spans="2:16" ht="13.5" customHeight="1" x14ac:dyDescent="0.2">
      <c r="B51" s="223" t="s">
        <v>698</v>
      </c>
      <c r="C51" s="223">
        <f>IF(J51&gt;"",1,0)</f>
        <v>0</v>
      </c>
      <c r="D51" s="264"/>
      <c r="E51" s="253"/>
      <c r="F51" s="253" t="str">
        <f>INDEX(Texte,70,$N$2)</f>
        <v>Name des Gewässers</v>
      </c>
      <c r="G51" s="253"/>
      <c r="H51" s="253"/>
      <c r="I51" s="253"/>
      <c r="J51" s="920"/>
      <c r="K51" s="921"/>
      <c r="L51" s="921"/>
      <c r="M51" s="922"/>
      <c r="N51" s="253"/>
      <c r="O51" s="253"/>
      <c r="P51" s="253"/>
    </row>
    <row r="52" spans="2:16" ht="13.5" customHeight="1" x14ac:dyDescent="0.2">
      <c r="C52" s="223">
        <f>IF(J52&gt;0,1,0)</f>
        <v>0</v>
      </c>
      <c r="D52" s="264"/>
      <c r="E52" s="253"/>
      <c r="F52" s="268" t="str">
        <f>INDEX(Texte,71,$N$2)</f>
        <v>Restwassermenge im Bach unmittelbar vor der Einleitstelle (Q347) l/s</v>
      </c>
      <c r="G52" s="253"/>
      <c r="H52" s="253"/>
      <c r="I52" s="253"/>
      <c r="J52" s="756"/>
      <c r="K52" s="253"/>
      <c r="L52" s="253"/>
      <c r="M52" s="253"/>
      <c r="N52" s="253"/>
      <c r="O52" s="253"/>
      <c r="P52" s="253"/>
    </row>
    <row r="53" spans="2:16" ht="13.5" customHeight="1" x14ac:dyDescent="0.2">
      <c r="C53" s="223">
        <f>IF(J53&gt;"",1,0)</f>
        <v>1</v>
      </c>
      <c r="D53" s="264"/>
      <c r="E53" s="253"/>
      <c r="F53" s="253" t="str">
        <f>INDEX(Texte,72,$N$2)</f>
        <v>Wie wurde die Wassermenge im Bach erhoben (Schätzung/Messung)</v>
      </c>
      <c r="G53" s="253"/>
      <c r="H53" s="253"/>
      <c r="I53" s="253"/>
      <c r="J53" s="289" t="str">
        <f>INDEX(QWasser,C58,1)</f>
        <v>Schätzung</v>
      </c>
      <c r="K53" s="253"/>
      <c r="L53" s="253"/>
      <c r="M53" s="253"/>
      <c r="N53" s="253"/>
      <c r="O53" s="253"/>
      <c r="P53" s="253"/>
    </row>
    <row r="54" spans="2:16" ht="13.5" customHeight="1" x14ac:dyDescent="0.2">
      <c r="D54" s="264"/>
      <c r="E54" s="253"/>
      <c r="F54" s="253"/>
      <c r="G54" s="253"/>
      <c r="H54" s="253"/>
      <c r="I54" s="253"/>
      <c r="J54" s="748" t="str">
        <f>INDEX(Texte,75,$N$2)</f>
        <v>Es sind noch nicht alle Muss-Felder ausgefüllt</v>
      </c>
      <c r="K54" s="748"/>
      <c r="L54" s="748"/>
      <c r="M54" s="748"/>
      <c r="N54" s="253"/>
      <c r="O54" s="253"/>
      <c r="P54" s="253"/>
    </row>
    <row r="55" spans="2:16" ht="13.5" customHeight="1" x14ac:dyDescent="0.2">
      <c r="B55" s="223" t="s">
        <v>699</v>
      </c>
      <c r="C55" s="232">
        <f>SUM(C51:C53)</f>
        <v>1</v>
      </c>
      <c r="D55" s="264"/>
      <c r="E55" s="253"/>
      <c r="F55" s="253"/>
      <c r="G55" s="253"/>
      <c r="H55" s="253"/>
      <c r="I55" s="253"/>
      <c r="J55" s="253"/>
      <c r="K55" s="253"/>
      <c r="L55" s="253"/>
      <c r="M55" s="253"/>
      <c r="N55" s="253"/>
      <c r="O55" s="273"/>
      <c r="P55" s="273"/>
    </row>
    <row r="56" spans="2:16" ht="13.5" customHeight="1" x14ac:dyDescent="0.2">
      <c r="B56" s="223"/>
      <c r="C56" s="232"/>
      <c r="D56" s="264"/>
      <c r="E56" s="253"/>
      <c r="F56" s="821"/>
      <c r="G56" s="821"/>
      <c r="H56" s="821"/>
      <c r="I56" s="821"/>
      <c r="J56" s="821"/>
      <c r="K56" s="821"/>
      <c r="L56" s="821"/>
      <c r="M56" s="821"/>
      <c r="N56" s="821"/>
      <c r="O56" s="273"/>
      <c r="P56" s="273"/>
    </row>
    <row r="57" spans="2:16" ht="13.5" customHeight="1" x14ac:dyDescent="0.2">
      <c r="B57" s="240"/>
      <c r="C57" s="240"/>
      <c r="D57" s="264"/>
      <c r="E57" s="253"/>
      <c r="F57" s="822" t="str">
        <f>INDEX(Texte,76,$N$2)</f>
        <v>Vorbelastung des Bachs, nur ausfüllen wenn bekannt:</v>
      </c>
      <c r="G57" s="271"/>
      <c r="H57" s="271"/>
      <c r="I57" s="271"/>
      <c r="J57" s="271"/>
      <c r="K57" s="271"/>
      <c r="L57" s="271"/>
      <c r="M57" s="271"/>
      <c r="N57" s="271"/>
      <c r="O57" s="253"/>
      <c r="P57" s="253"/>
    </row>
    <row r="58" spans="2:16" ht="13.5" customHeight="1" x14ac:dyDescent="0.2">
      <c r="B58" s="240" t="s">
        <v>1265</v>
      </c>
      <c r="C58" s="858">
        <v>1</v>
      </c>
      <c r="D58" s="264"/>
      <c r="E58" s="253"/>
      <c r="F58" s="253"/>
      <c r="G58" s="253"/>
      <c r="H58" s="253"/>
      <c r="I58" s="253"/>
      <c r="J58" s="264" t="str">
        <f>INDEX(Texte,77,$N$2)</f>
        <v>Klassierung *</v>
      </c>
      <c r="K58" s="253"/>
      <c r="L58" s="264" t="str">
        <f>INDEX(Texte,78,$N$2)</f>
        <v>Vorbelastung mit DOC</v>
      </c>
      <c r="M58" s="253"/>
      <c r="N58" s="253"/>
      <c r="O58" s="253"/>
      <c r="P58" s="253"/>
    </row>
    <row r="59" spans="2:16" ht="13.5" customHeight="1" x14ac:dyDescent="0.2">
      <c r="B59" s="220" t="s">
        <v>1266</v>
      </c>
      <c r="C59" s="857">
        <v>1</v>
      </c>
      <c r="D59" s="264"/>
      <c r="E59" s="253"/>
      <c r="F59" s="253" t="str">
        <f>INDEX(Texte,81,$N$2)</f>
        <v>DOC (gel. org. Kohlenstoff)</v>
      </c>
      <c r="G59" s="253"/>
      <c r="H59" s="255" t="s">
        <v>269</v>
      </c>
      <c r="I59" s="235"/>
      <c r="J59" s="243" t="str">
        <f>Gewaesserbelastung!E19</f>
        <v/>
      </c>
      <c r="K59" s="253"/>
      <c r="L59" s="854" t="str">
        <f>INDEX(DOCVorbel,C59,1)</f>
        <v>gering</v>
      </c>
      <c r="M59" s="253"/>
      <c r="N59" s="253"/>
      <c r="O59" s="253"/>
      <c r="P59" s="253"/>
    </row>
    <row r="60" spans="2:16" ht="13.5" customHeight="1" x14ac:dyDescent="0.2">
      <c r="D60" s="264"/>
      <c r="E60" s="253"/>
      <c r="F60" s="253" t="str">
        <f>INDEX(Texte,82,$N$2)</f>
        <v>NH4-N (Ammonium-Stickstoff)</v>
      </c>
      <c r="G60" s="253"/>
      <c r="H60" s="255" t="s">
        <v>269</v>
      </c>
      <c r="I60" s="235"/>
      <c r="J60" s="243" t="str">
        <f>Gewaesserbelastung!E20</f>
        <v/>
      </c>
      <c r="K60" s="253"/>
      <c r="L60" s="253"/>
      <c r="M60" s="253"/>
      <c r="N60" s="253"/>
      <c r="O60" s="253"/>
      <c r="P60" s="253"/>
    </row>
    <row r="61" spans="2:16" ht="13.5" customHeight="1" x14ac:dyDescent="0.2">
      <c r="D61" s="264"/>
      <c r="E61" s="253"/>
      <c r="F61" s="253" t="str">
        <f>INDEX(Texte,83,$N$2)</f>
        <v>NO3-N (Nitrat-Stickstoff)</v>
      </c>
      <c r="G61" s="253"/>
      <c r="H61" s="255" t="s">
        <v>269</v>
      </c>
      <c r="I61" s="235"/>
      <c r="J61" s="243" t="str">
        <f>Gewaesserbelastung!E21</f>
        <v/>
      </c>
      <c r="K61" s="746" t="s">
        <v>620</v>
      </c>
      <c r="L61" s="923" t="str">
        <f>INDEX(Texte,87,$N$2)</f>
        <v>Klassierung der Gewässerqualität gemäss Modulstufenkonzept des BAFU</v>
      </c>
      <c r="M61" s="923"/>
      <c r="N61" s="253"/>
      <c r="O61" s="253"/>
      <c r="P61" s="253"/>
    </row>
    <row r="62" spans="2:16" ht="13.5" customHeight="1" x14ac:dyDescent="0.2">
      <c r="D62" s="264"/>
      <c r="E62" s="253"/>
      <c r="F62" s="253" t="str">
        <f>INDEX(Texte,84,$N$2)</f>
        <v>P gelöst (gelöster Phosphor)</v>
      </c>
      <c r="G62" s="253"/>
      <c r="H62" s="255" t="s">
        <v>269</v>
      </c>
      <c r="I62" s="244"/>
      <c r="J62" s="243" t="str">
        <f>Gewaesserbelastung!E22</f>
        <v/>
      </c>
      <c r="K62" s="253"/>
      <c r="L62" s="923"/>
      <c r="M62" s="923"/>
      <c r="N62" s="253"/>
      <c r="O62" s="253"/>
      <c r="P62" s="253"/>
    </row>
    <row r="63" spans="2:16" ht="13.5" customHeight="1" x14ac:dyDescent="0.2">
      <c r="D63" s="264"/>
      <c r="E63" s="253"/>
      <c r="F63" s="253" t="str">
        <f>INDEX(Texte,85,$N$2)</f>
        <v>P gesamt (gesamter Phosphor)</v>
      </c>
      <c r="G63" s="253"/>
      <c r="H63" s="255" t="s">
        <v>269</v>
      </c>
      <c r="I63" s="244"/>
      <c r="J63" s="243" t="str">
        <f>Gewaesserbelastung!E23</f>
        <v/>
      </c>
      <c r="K63" s="253"/>
      <c r="L63" s="253"/>
      <c r="M63" s="253"/>
      <c r="N63" s="253"/>
      <c r="O63" s="253"/>
      <c r="P63" s="253"/>
    </row>
    <row r="64" spans="2:16" ht="13.5" customHeight="1" x14ac:dyDescent="0.2">
      <c r="D64" s="264"/>
      <c r="E64" s="253"/>
      <c r="F64" s="253" t="str">
        <f>INDEX(Texte,86,$N$2)</f>
        <v>Art der Untersuchung (Stichprobe, Untersuchuchgsreihe)</v>
      </c>
      <c r="G64" s="253"/>
      <c r="H64" s="253"/>
      <c r="I64" s="924"/>
      <c r="J64" s="925"/>
      <c r="K64" s="269"/>
      <c r="L64" s="253"/>
      <c r="M64" s="253"/>
      <c r="N64" s="253"/>
      <c r="O64" s="253"/>
      <c r="P64" s="253"/>
    </row>
    <row r="65" spans="2:16" ht="13.5" customHeight="1" thickBot="1" x14ac:dyDescent="0.25">
      <c r="D65" s="264"/>
      <c r="E65" s="253"/>
      <c r="F65" s="253"/>
      <c r="G65" s="253"/>
      <c r="H65" s="253"/>
      <c r="I65" s="253"/>
      <c r="J65" s="253"/>
      <c r="K65" s="253"/>
      <c r="L65" s="253"/>
      <c r="M65" s="253"/>
      <c r="N65" s="253"/>
      <c r="O65" s="253"/>
      <c r="P65" s="253"/>
    </row>
    <row r="66" spans="2:16" ht="13.5" customHeight="1" thickTop="1" x14ac:dyDescent="0.2">
      <c r="D66" s="285"/>
      <c r="E66" s="277"/>
      <c r="F66" s="277"/>
      <c r="G66" s="277"/>
      <c r="H66" s="277"/>
      <c r="I66" s="277"/>
      <c r="J66" s="277"/>
      <c r="K66" s="277"/>
      <c r="L66" s="277"/>
      <c r="M66" s="277"/>
      <c r="N66" s="277"/>
      <c r="O66" s="277"/>
      <c r="P66" s="277"/>
    </row>
    <row r="67" spans="2:16" ht="15" customHeight="1" x14ac:dyDescent="0.25">
      <c r="D67" s="264"/>
      <c r="E67" s="253"/>
      <c r="F67" s="254" t="str">
        <f>INDEX(Texte,94,$N$2)</f>
        <v>5. Abtrennung der Feststoffe</v>
      </c>
      <c r="G67" s="253"/>
      <c r="H67" s="253"/>
      <c r="I67" s="253"/>
      <c r="J67" s="253"/>
      <c r="K67" s="253"/>
      <c r="L67" s="253"/>
      <c r="M67" s="253"/>
      <c r="N67" s="253"/>
      <c r="O67" s="253"/>
      <c r="P67" s="253"/>
    </row>
    <row r="68" spans="2:16" ht="15" customHeight="1" x14ac:dyDescent="0.2">
      <c r="D68" s="264"/>
      <c r="E68" s="253"/>
      <c r="F68" s="253"/>
      <c r="G68" s="253"/>
      <c r="H68" s="253"/>
      <c r="I68" s="253"/>
      <c r="J68" s="253"/>
      <c r="K68" s="253"/>
      <c r="L68" s="253"/>
      <c r="M68" s="253"/>
      <c r="N68" s="253"/>
      <c r="O68" s="253"/>
      <c r="P68" s="253"/>
    </row>
    <row r="69" spans="2:16" ht="50.1" customHeight="1" x14ac:dyDescent="0.2">
      <c r="B69" s="234" t="s">
        <v>519</v>
      </c>
      <c r="C69" s="234">
        <f>VLOOKUP(H69,Schlammtext,11)</f>
        <v>1</v>
      </c>
      <c r="D69" s="264"/>
      <c r="E69" s="253"/>
      <c r="F69" s="908" t="str">
        <f>INDEX(Texte,95,$N$2)</f>
        <v>Art der Feststoffabtrennung:</v>
      </c>
      <c r="G69" s="909"/>
      <c r="H69" s="938" t="str">
        <f>INDEX(Schlamm,C73,1)</f>
        <v>a) keine Feststoffabtrennung</v>
      </c>
      <c r="I69" s="939"/>
      <c r="J69" s="911" t="str">
        <f>VLOOKUP(H69,Schlammtext,2)</f>
        <v>Werden die Feststoffe nicht abgetrennt, erhöht sich die Belastung des Abwassers.</v>
      </c>
      <c r="K69" s="911"/>
      <c r="L69" s="911"/>
      <c r="M69" s="911"/>
      <c r="N69" s="911"/>
      <c r="O69" s="253"/>
      <c r="P69" s="253"/>
    </row>
    <row r="70" spans="2:16" ht="50.1" customHeight="1" x14ac:dyDescent="0.2">
      <c r="B70" s="234" t="s">
        <v>520</v>
      </c>
      <c r="C70" s="234">
        <f>IF(C69&lt;3,2,VLOOKUP(H70,Entwässerungstext,11))</f>
        <v>2</v>
      </c>
      <c r="D70" s="264"/>
      <c r="E70" s="253"/>
      <c r="F70" s="982" t="str">
        <f>INDEX(Texte,104,$N$2)</f>
        <v>Entwässerung der abgetrennten Feststoffe:</v>
      </c>
      <c r="G70" s="983"/>
      <c r="H70" s="987" t="str">
        <f>INDEX(Entwässerung,C74,1)</f>
        <v>b) keine sofortige Entwässerung</v>
      </c>
      <c r="I70" s="988"/>
      <c r="J70" s="953" t="str">
        <f>VLOOKUP(H70,Entwässerungstext,2)</f>
        <v>Werden die Feststoffe nicht abgetrennt und entwässert, erfolgt eine Rücklösung von Stoffen welche das Abwasser zusätzlich belasten. Es werden 30% bis 40% der Stoffe wieder freigesetzt.</v>
      </c>
      <c r="K70" s="954"/>
      <c r="L70" s="954"/>
      <c r="M70" s="954"/>
      <c r="N70" s="955"/>
      <c r="O70" s="253"/>
      <c r="P70" s="253"/>
    </row>
    <row r="71" spans="2:16" ht="15" customHeight="1" x14ac:dyDescent="0.2">
      <c r="B71" s="234" t="s">
        <v>1002</v>
      </c>
      <c r="C71" s="234">
        <f>IF(C69&lt;3,1,0)</f>
        <v>1</v>
      </c>
      <c r="D71" s="264"/>
      <c r="E71" s="253"/>
      <c r="F71" s="253"/>
      <c r="G71" s="253"/>
      <c r="H71" s="892" t="str">
        <f>INDEX(Texte,109,$N$2)</f>
        <v>Eine Entwässerung ist nicht möglich, wenn Sie die Feststoffe nicht mit einem Filter abtrennen!</v>
      </c>
      <c r="I71" s="892"/>
      <c r="J71" s="892"/>
      <c r="K71" s="892"/>
      <c r="L71" s="892"/>
      <c r="M71" s="892"/>
      <c r="N71" s="892"/>
      <c r="O71" s="253"/>
      <c r="P71" s="253"/>
    </row>
    <row r="72" spans="2:16" ht="15" customHeight="1" x14ac:dyDescent="0.2">
      <c r="D72" s="264"/>
      <c r="E72" s="253"/>
      <c r="F72" s="253"/>
      <c r="G72" s="253"/>
      <c r="H72" s="892" t="str">
        <f>INDEX(Texte,110,$N$2)</f>
        <v>Bei Kreislaufanlagen wird die Feststoffabtrennung und -entwässerung automatisch berücksichtigt !</v>
      </c>
      <c r="I72" s="892"/>
      <c r="J72" s="892"/>
      <c r="K72" s="892"/>
      <c r="L72" s="892"/>
      <c r="M72" s="892"/>
      <c r="N72" s="892"/>
      <c r="O72" s="253"/>
      <c r="P72" s="253"/>
    </row>
    <row r="73" spans="2:16" ht="15" customHeight="1" x14ac:dyDescent="0.2">
      <c r="B73" s="220" t="s">
        <v>1268</v>
      </c>
      <c r="C73" s="857">
        <v>1</v>
      </c>
      <c r="D73" s="264"/>
      <c r="E73" s="253"/>
      <c r="F73" s="253"/>
      <c r="G73" s="253"/>
      <c r="H73" s="986" t="str">
        <f>INDEX(Texte,111,$N$2)</f>
        <v>Bei Teichanlagen ist eine Feststoffabtrennung nicht sinnvoll, die Einstellungen haben keinen Einfluss.</v>
      </c>
      <c r="I73" s="986"/>
      <c r="J73" s="986"/>
      <c r="K73" s="986"/>
      <c r="L73" s="986"/>
      <c r="M73" s="986"/>
      <c r="N73" s="986"/>
      <c r="O73" s="253"/>
      <c r="P73" s="253"/>
    </row>
    <row r="74" spans="2:16" ht="15" customHeight="1" x14ac:dyDescent="0.2">
      <c r="B74" s="220" t="s">
        <v>1269</v>
      </c>
      <c r="C74" s="857">
        <v>2</v>
      </c>
      <c r="D74" s="264"/>
      <c r="E74" s="253"/>
      <c r="F74" s="253"/>
      <c r="G74" s="253"/>
      <c r="H74" s="253"/>
      <c r="I74" s="253"/>
      <c r="J74" s="253"/>
      <c r="K74" s="253"/>
      <c r="L74" s="253"/>
      <c r="M74" s="253"/>
      <c r="N74" s="253"/>
      <c r="O74" s="253"/>
      <c r="P74" s="253"/>
    </row>
    <row r="75" spans="2:16" ht="228.75" customHeight="1" x14ac:dyDescent="0.2">
      <c r="D75" s="264"/>
      <c r="E75" s="253"/>
      <c r="F75" s="952" t="str">
        <f>INDEX(Texte,112,$N$2)</f>
        <v>Hier sehen Sie die Auswirkungen, wenn Sie die Feststoffabtrennung und -entwässerung, oder die Nachbehandlung des Abwassers verändern.</v>
      </c>
      <c r="G75" s="952"/>
      <c r="H75" s="952"/>
      <c r="I75" s="952"/>
      <c r="J75" s="951"/>
      <c r="K75" s="951"/>
      <c r="L75" s="951"/>
      <c r="M75" s="951"/>
      <c r="N75" s="951"/>
      <c r="O75" s="253"/>
      <c r="P75" s="253"/>
    </row>
    <row r="76" spans="2:16" ht="15" customHeight="1" x14ac:dyDescent="0.2">
      <c r="B76" s="220" t="s">
        <v>1270</v>
      </c>
      <c r="C76" s="857">
        <v>1</v>
      </c>
      <c r="D76" s="264"/>
      <c r="E76" s="253"/>
      <c r="F76" s="743"/>
      <c r="G76" s="743"/>
      <c r="H76" s="743"/>
      <c r="I76" s="743"/>
      <c r="J76" s="742"/>
      <c r="K76" s="742"/>
      <c r="L76" s="742"/>
      <c r="M76" s="742"/>
      <c r="N76" s="742"/>
      <c r="O76" s="253"/>
      <c r="P76" s="253"/>
    </row>
    <row r="77" spans="2:16" ht="15" customHeight="1" x14ac:dyDescent="0.25">
      <c r="B77" s="220" t="s">
        <v>1271</v>
      </c>
      <c r="C77" s="857">
        <v>1</v>
      </c>
      <c r="D77" s="264"/>
      <c r="E77" s="253"/>
      <c r="F77" s="254" t="str">
        <f>INDEX(Texte,120,$N$2)</f>
        <v>6. Angaben zur Abwassernachbehandlung</v>
      </c>
      <c r="G77" s="253"/>
      <c r="H77" s="253"/>
      <c r="I77" s="253"/>
      <c r="J77" s="253"/>
      <c r="K77" s="253"/>
      <c r="L77" s="253"/>
      <c r="M77" s="253"/>
      <c r="N77" s="253"/>
      <c r="O77" s="253"/>
      <c r="P77" s="253"/>
    </row>
    <row r="78" spans="2:16" ht="15" customHeight="1" x14ac:dyDescent="0.2">
      <c r="D78" s="264"/>
      <c r="E78" s="253"/>
      <c r="F78" s="253"/>
      <c r="G78" s="253"/>
      <c r="H78" s="253"/>
      <c r="I78" s="253"/>
      <c r="J78" s="253"/>
      <c r="K78" s="253"/>
      <c r="L78" s="253"/>
      <c r="M78" s="253"/>
      <c r="N78" s="253"/>
      <c r="O78" s="253"/>
      <c r="P78" s="253"/>
    </row>
    <row r="79" spans="2:16" ht="50.1" customHeight="1" x14ac:dyDescent="0.2">
      <c r="B79" s="234" t="s">
        <v>772</v>
      </c>
      <c r="C79" s="234">
        <f>VLOOKUP(H79,PhosphorFText,11)</f>
        <v>1</v>
      </c>
      <c r="D79" s="264"/>
      <c r="E79" s="253"/>
      <c r="F79" s="982" t="str">
        <f>INDEX(Texte,121,$N$2)</f>
        <v>P-Fällung bei Kreislaufanlagen</v>
      </c>
      <c r="G79" s="983"/>
      <c r="H79" s="984" t="str">
        <f>INDEX(PhosphorF,C76,1)</f>
        <v>d) keine</v>
      </c>
      <c r="I79" s="985"/>
      <c r="J79" s="953" t="str">
        <f>VLOOKUP(H79,PhosphorFText,2)</f>
        <v>Eine P-Fällung wird nur bei Kreislaufanlagen berücksichtigt.</v>
      </c>
      <c r="K79" s="954"/>
      <c r="L79" s="954"/>
      <c r="M79" s="954"/>
      <c r="N79" s="955"/>
      <c r="O79" s="253"/>
      <c r="P79" s="253"/>
    </row>
    <row r="80" spans="2:16" ht="50.1" customHeight="1" x14ac:dyDescent="0.2">
      <c r="B80" s="234" t="s">
        <v>674</v>
      </c>
      <c r="C80" s="234">
        <f>VLOOKUP(H80,VorbehText,11)</f>
        <v>1</v>
      </c>
      <c r="D80" s="264"/>
      <c r="E80" s="253"/>
      <c r="F80" s="982" t="str">
        <f>INDEX(Texte,127,$N$2)</f>
        <v>Art der Nachbehandlung</v>
      </c>
      <c r="G80" s="983"/>
      <c r="H80" s="855" t="str">
        <f>INDEX(Vorbeh,C77,1)</f>
        <v>a) keine</v>
      </c>
      <c r="I80" s="856"/>
      <c r="J80" s="953" t="str">
        <f>VLOOKUP(H80,VorbehText,2)</f>
        <v>Durch eine Nachbehandlung des Ablaufwassers kann die Gewässerbelastung reduziert werden (nicht bei Teichanlagen).</v>
      </c>
      <c r="K80" s="954"/>
      <c r="L80" s="954"/>
      <c r="M80" s="954"/>
      <c r="N80" s="955"/>
      <c r="O80" s="253"/>
      <c r="P80" s="253"/>
    </row>
    <row r="81" spans="2:16" ht="13.5" customHeight="1" thickBot="1" x14ac:dyDescent="0.25">
      <c r="D81" s="264"/>
      <c r="E81" s="253"/>
      <c r="F81" s="253"/>
      <c r="G81" s="253"/>
      <c r="H81" s="253"/>
      <c r="I81" s="253"/>
      <c r="J81" s="253"/>
      <c r="K81" s="253"/>
      <c r="L81" s="253"/>
      <c r="M81" s="253"/>
      <c r="N81" s="253"/>
      <c r="O81" s="253"/>
      <c r="P81" s="253"/>
    </row>
    <row r="82" spans="2:16" ht="15" customHeight="1" thickTop="1" thickBot="1" x14ac:dyDescent="0.25">
      <c r="D82" s="285"/>
      <c r="E82" s="277"/>
      <c r="F82" s="277"/>
      <c r="G82" s="277"/>
      <c r="H82" s="277"/>
      <c r="I82" s="277"/>
      <c r="J82" s="277"/>
      <c r="K82" s="277"/>
      <c r="L82" s="277"/>
      <c r="M82" s="277"/>
      <c r="N82" s="277"/>
      <c r="O82" s="277"/>
      <c r="P82" s="277"/>
    </row>
    <row r="83" spans="2:16" ht="15" customHeight="1" x14ac:dyDescent="0.2">
      <c r="D83" s="264"/>
      <c r="E83" s="763"/>
      <c r="F83" s="764"/>
      <c r="G83" s="764"/>
      <c r="H83" s="764"/>
      <c r="I83" s="764"/>
      <c r="J83" s="764"/>
      <c r="K83" s="764"/>
      <c r="L83" s="764"/>
      <c r="M83" s="764"/>
      <c r="N83" s="764"/>
      <c r="O83" s="765"/>
      <c r="P83" s="253"/>
    </row>
    <row r="84" spans="2:16" ht="15" customHeight="1" x14ac:dyDescent="0.25">
      <c r="D84" s="264"/>
      <c r="E84" s="766"/>
      <c r="F84" s="280" t="str">
        <f>INDEX(Texte,134,$N$2)</f>
        <v>7. Resultate und Bewertung</v>
      </c>
      <c r="G84" s="273"/>
      <c r="H84" s="273"/>
      <c r="I84" s="747" t="s">
        <v>620</v>
      </c>
      <c r="J84" s="910" t="str">
        <f>INDEX(Texte,135,$N$2)</f>
        <v>Klassierung der Gewässerqualität gemäss Modulstufenkonzept des BAFU</v>
      </c>
      <c r="K84" s="910"/>
      <c r="L84" s="910"/>
      <c r="M84" s="253"/>
      <c r="N84" s="273"/>
      <c r="O84" s="767"/>
      <c r="P84" s="253"/>
    </row>
    <row r="85" spans="2:16" ht="15" customHeight="1" x14ac:dyDescent="0.2">
      <c r="D85" s="264"/>
      <c r="E85" s="766"/>
      <c r="F85" s="273"/>
      <c r="G85" s="273"/>
      <c r="H85" s="273"/>
      <c r="I85" s="273"/>
      <c r="J85" s="910"/>
      <c r="K85" s="910"/>
      <c r="L85" s="910"/>
      <c r="M85" s="253"/>
      <c r="N85" s="273"/>
      <c r="O85" s="767"/>
      <c r="P85" s="253"/>
    </row>
    <row r="86" spans="2:16" ht="38.25" x14ac:dyDescent="0.2">
      <c r="B86" s="220" t="s">
        <v>746</v>
      </c>
      <c r="C86" s="245">
        <v>0.3</v>
      </c>
      <c r="D86" s="264"/>
      <c r="E86" s="766"/>
      <c r="F86" s="281" t="str">
        <f>Grundlagen!AI123</f>
        <v>Parameter</v>
      </c>
      <c r="G86" s="282" t="str">
        <f>INDEX(Texte,145,$N$2)</f>
        <v>ungefähre Zusatz-belastung des Ablaufwassers:</v>
      </c>
      <c r="H86" s="282" t="str">
        <f>INDEX(Texte,146,$N$2)</f>
        <v>Konzentrations-erhöhung im Gewässer</v>
      </c>
      <c r="I86" s="282" t="str">
        <f>INDEX(Texte,147,$N$2)</f>
        <v>ungefähre Konzentration im Gewässer</v>
      </c>
      <c r="J86" s="282" t="str">
        <f>INDEX(Texte,148,$N$2)</f>
        <v>Klassierung *</v>
      </c>
      <c r="K86" s="281"/>
      <c r="L86" s="282" t="str">
        <f>INDEX(Texte,149,$N$2)</f>
        <v>Beurteilung</v>
      </c>
      <c r="M86" s="273"/>
      <c r="N86" s="273"/>
      <c r="O86" s="767"/>
      <c r="P86" s="253"/>
    </row>
    <row r="87" spans="2:16" ht="15" customHeight="1" x14ac:dyDescent="0.2">
      <c r="C87" s="247" t="e">
        <f>Grundlagen!AR131</f>
        <v>#VALUE!</v>
      </c>
      <c r="D87" s="279"/>
      <c r="E87" s="766"/>
      <c r="F87" s="281" t="str">
        <f>Grundlagen!AI131&amp;" mg/l"</f>
        <v>DOC mg/l</v>
      </c>
      <c r="G87" s="283" t="e">
        <f>Grundlagen!AS131</f>
        <v>#VALUE!</v>
      </c>
      <c r="H87" s="283" t="e">
        <f>IF(G87="","",Gewaesserbelastung!C28)</f>
        <v>#VALUE!</v>
      </c>
      <c r="I87" s="283" t="e">
        <f>IF(G87="","",Gewaesserbelastung!C37)</f>
        <v>#VALUE!</v>
      </c>
      <c r="J87" s="243" t="str">
        <f>IF(ISERROR(Gewaesserbelastung!D37),"",Gewaesserbelastung!D37)</f>
        <v/>
      </c>
      <c r="K87" s="281"/>
      <c r="L87" s="891" t="e">
        <f>IF(H87="","",Gewaesserbelastung!D28)</f>
        <v>#VALUE!</v>
      </c>
      <c r="M87" s="891"/>
      <c r="N87" s="271"/>
      <c r="O87" s="768"/>
      <c r="P87" s="253"/>
    </row>
    <row r="88" spans="2:16" ht="15" customHeight="1" x14ac:dyDescent="0.2">
      <c r="B88" s="220" t="s">
        <v>745</v>
      </c>
      <c r="C88" s="247" t="e">
        <f>Grundlagen!AR124</f>
        <v>#VALUE!</v>
      </c>
      <c r="D88" s="279"/>
      <c r="E88" s="766"/>
      <c r="F88" s="281" t="str">
        <f>Grundlagen!AI124&amp;" mg/l"</f>
        <v>Ammonium-N mg/l</v>
      </c>
      <c r="G88" s="283" t="e">
        <f>Grundlagen!AS124</f>
        <v>#VALUE!</v>
      </c>
      <c r="H88" s="283" t="e">
        <f>IF(G88="","",Gewaesserbelastung!C29)</f>
        <v>#VALUE!</v>
      </c>
      <c r="I88" s="283" t="e">
        <f>IF(G88="","",Gewaesserbelastung!C38)</f>
        <v>#VALUE!</v>
      </c>
      <c r="J88" s="243" t="str">
        <f>IF(ISERROR(Gewaesserbelastung!D38),"",Gewaesserbelastung!D38)</f>
        <v/>
      </c>
      <c r="K88" s="281"/>
      <c r="L88" s="891" t="e">
        <f>IF(H88="","",Gewaesserbelastung!D29)</f>
        <v>#VALUE!</v>
      </c>
      <c r="M88" s="891"/>
      <c r="N88" s="271"/>
      <c r="O88" s="768"/>
      <c r="P88" s="253"/>
    </row>
    <row r="89" spans="2:16" ht="15" customHeight="1" x14ac:dyDescent="0.2">
      <c r="B89" s="220" t="s">
        <v>700</v>
      </c>
      <c r="C89" s="247" t="e">
        <f>Grundlagen!AR125</f>
        <v>#DIV/0!</v>
      </c>
      <c r="D89" s="279"/>
      <c r="E89" s="766"/>
      <c r="F89" s="281" t="str">
        <f>Grundlagen!AI125&amp;" mg/l"</f>
        <v>Nitrat-N mg/l</v>
      </c>
      <c r="G89" s="283" t="e">
        <f>Grundlagen!AS125</f>
        <v>#DIV/0!</v>
      </c>
      <c r="H89" s="283" t="e">
        <f>IF(G89="","",Gewaesserbelastung!C30)</f>
        <v>#DIV/0!</v>
      </c>
      <c r="I89" s="283" t="e">
        <f>IF(G89="","",Gewaesserbelastung!C39)</f>
        <v>#DIV/0!</v>
      </c>
      <c r="J89" s="243" t="str">
        <f>IF(ISERROR(Gewaesserbelastung!D39),"",Gewaesserbelastung!D39)</f>
        <v/>
      </c>
      <c r="K89" s="281"/>
      <c r="L89" s="891" t="e">
        <f>IF(H89="","",Gewaesserbelastung!D30)</f>
        <v>#DIV/0!</v>
      </c>
      <c r="M89" s="891"/>
      <c r="N89" s="271"/>
      <c r="O89" s="768"/>
      <c r="P89" s="253"/>
    </row>
    <row r="90" spans="2:16" ht="15" customHeight="1" x14ac:dyDescent="0.2">
      <c r="B90" s="220" t="s">
        <v>701</v>
      </c>
      <c r="C90" s="247" t="e">
        <f>Grundlagen!AR126</f>
        <v>#DIV/0!</v>
      </c>
      <c r="D90" s="279"/>
      <c r="E90" s="766"/>
      <c r="F90" s="281" t="str">
        <f>Grundlagen!AI126&amp;" mg/l"</f>
        <v>Gesamt-N mg/l</v>
      </c>
      <c r="G90" s="283" t="e">
        <f>Grundlagen!AS126</f>
        <v>#DIV/0!</v>
      </c>
      <c r="H90" s="283" t="e">
        <f t="shared" ref="H90:H94" si="0">IF(G90="","",G90*J$42/(J$42+J$52))</f>
        <v>#DIV/0!</v>
      </c>
      <c r="I90" s="283"/>
      <c r="J90" s="281"/>
      <c r="K90" s="281"/>
      <c r="L90" s="267"/>
      <c r="M90" s="273"/>
      <c r="N90" s="273"/>
      <c r="O90" s="768"/>
      <c r="P90" s="253"/>
    </row>
    <row r="91" spans="2:16" ht="15" customHeight="1" x14ac:dyDescent="0.2">
      <c r="C91" s="247" t="e">
        <f>Grundlagen!AR127</f>
        <v>#DIV/0!</v>
      </c>
      <c r="D91" s="279"/>
      <c r="E91" s="766"/>
      <c r="F91" s="281" t="str">
        <f>Grundlagen!AI127&amp;" mg/l"</f>
        <v>P gelöst mg/l</v>
      </c>
      <c r="G91" s="283" t="e">
        <f>Grundlagen!AS127</f>
        <v>#DIV/0!</v>
      </c>
      <c r="H91" s="283" t="e">
        <f>IF(G91="","",Gewaesserbelastung!C31)</f>
        <v>#DIV/0!</v>
      </c>
      <c r="I91" s="283" t="e">
        <f>IF(G91="","",Gewaesserbelastung!C40)</f>
        <v>#DIV/0!</v>
      </c>
      <c r="J91" s="243" t="str">
        <f>IF(ISERROR(Gewaesserbelastung!D40),"",Gewaesserbelastung!D40)</f>
        <v/>
      </c>
      <c r="K91" s="281"/>
      <c r="L91" s="891" t="e">
        <f>IF(H91="","",Gewaesserbelastung!D31)</f>
        <v>#DIV/0!</v>
      </c>
      <c r="M91" s="891"/>
      <c r="N91" s="271"/>
      <c r="O91" s="768"/>
      <c r="P91" s="253"/>
    </row>
    <row r="92" spans="2:16" ht="15" customHeight="1" x14ac:dyDescent="0.2">
      <c r="C92" s="247" t="e">
        <f>Grundlagen!AR128</f>
        <v>#DIV/0!</v>
      </c>
      <c r="D92" s="279"/>
      <c r="E92" s="766"/>
      <c r="F92" s="281" t="str">
        <f>Grundlagen!AI128&amp;" mg/l"</f>
        <v>Gesamt-P mg/l</v>
      </c>
      <c r="G92" s="283" t="e">
        <f>Grundlagen!AS128</f>
        <v>#DIV/0!</v>
      </c>
      <c r="H92" s="283" t="e">
        <f>IF(G92="","",Gewaesserbelastung!C32)</f>
        <v>#DIV/0!</v>
      </c>
      <c r="I92" s="283" t="e">
        <f>IF(G92="","",Gewaesserbelastung!C41)</f>
        <v>#DIV/0!</v>
      </c>
      <c r="J92" s="243" t="str">
        <f>IF(ISERROR(Gewaesserbelastung!D41),"",Gewaesserbelastung!D41)</f>
        <v/>
      </c>
      <c r="K92" s="281"/>
      <c r="L92" s="891" t="e">
        <f>IF(H92="","",Gewaesserbelastung!D32)</f>
        <v>#DIV/0!</v>
      </c>
      <c r="M92" s="891"/>
      <c r="N92" s="271"/>
      <c r="O92" s="768"/>
      <c r="P92" s="253"/>
    </row>
    <row r="93" spans="2:16" ht="15" customHeight="1" x14ac:dyDescent="0.2">
      <c r="C93" s="247" t="e">
        <f>Grundlagen!AR130</f>
        <v>#VALUE!</v>
      </c>
      <c r="D93" s="279"/>
      <c r="E93" s="766"/>
      <c r="F93" s="281" t="str">
        <f>Grundlagen!AI130&amp;" mg/l"</f>
        <v>GUS mg/l</v>
      </c>
      <c r="G93" s="283" t="e">
        <f>Grundlagen!AS130</f>
        <v>#VALUE!</v>
      </c>
      <c r="H93" s="283"/>
      <c r="I93" s="283"/>
      <c r="J93" s="281"/>
      <c r="K93" s="281"/>
      <c r="L93" s="908" t="e">
        <f>IF(G93="","",IF(G93&gt;20,nicht,tragbar))</f>
        <v>#VALUE!</v>
      </c>
      <c r="M93" s="909"/>
      <c r="N93" s="272" t="str">
        <f>INDEX(Texte,150,$N$2)</f>
        <v>Grenzwert 20 mg/l</v>
      </c>
      <c r="O93" s="768"/>
      <c r="P93" s="253"/>
    </row>
    <row r="94" spans="2:16" ht="15" customHeight="1" x14ac:dyDescent="0.2">
      <c r="C94" s="247" t="e">
        <f>Grundlagen!AR129</f>
        <v>#VALUE!</v>
      </c>
      <c r="D94" s="279"/>
      <c r="E94" s="766"/>
      <c r="F94" s="281" t="str">
        <f>Grundlagen!AI129&amp;" mg/l"</f>
        <v>CSB mg/l</v>
      </c>
      <c r="G94" s="283" t="e">
        <f>Grundlagen!AS129</f>
        <v>#VALUE!</v>
      </c>
      <c r="H94" s="283" t="e">
        <f t="shared" si="0"/>
        <v>#VALUE!</v>
      </c>
      <c r="I94" s="283"/>
      <c r="J94" s="281"/>
      <c r="K94" s="281"/>
      <c r="L94" s="273"/>
      <c r="M94" s="273"/>
      <c r="N94" s="273"/>
      <c r="O94" s="768"/>
      <c r="P94" s="253"/>
    </row>
    <row r="95" spans="2:16" ht="15" customHeight="1" x14ac:dyDescent="0.2">
      <c r="B95" s="220" t="s">
        <v>734</v>
      </c>
      <c r="D95" s="264"/>
      <c r="E95" s="766"/>
      <c r="F95" s="273"/>
      <c r="G95" s="273"/>
      <c r="H95" s="273"/>
      <c r="I95" s="273"/>
      <c r="J95" s="273"/>
      <c r="K95" s="273"/>
      <c r="L95" s="273"/>
      <c r="M95" s="273"/>
      <c r="N95" s="273"/>
      <c r="O95" s="767"/>
      <c r="P95" s="253"/>
    </row>
    <row r="96" spans="2:16" ht="15" customHeight="1" x14ac:dyDescent="0.2">
      <c r="B96" s="236" t="s">
        <v>732</v>
      </c>
      <c r="C96" s="247" t="e">
        <f>Grundlagen!AK143</f>
        <v>#DIV/0!</v>
      </c>
      <c r="D96" s="279"/>
      <c r="E96" s="766"/>
      <c r="F96" s="898" t="str">
        <f>INDEX(Texte,154,$N$2)</f>
        <v>P-Fracht bei maximaler Fischbiomasse in der Anlage</v>
      </c>
      <c r="G96" s="898"/>
      <c r="H96" s="283" t="e">
        <f>Grundlagen!AL143</f>
        <v>#DIV/0!</v>
      </c>
      <c r="I96" s="267" t="str">
        <f>INDEX(Texte,155,$N$2)</f>
        <v>P gelöst g/Tag</v>
      </c>
      <c r="J96" s="907" t="str">
        <f>INDEX(Texte,157,$N$2)</f>
        <v>Voraussichtlich ist eine Phosphorfällung notwendig</v>
      </c>
      <c r="K96" s="907"/>
      <c r="L96" s="907"/>
      <c r="M96" s="907"/>
      <c r="N96" s="273"/>
      <c r="O96" s="767"/>
      <c r="P96" s="253"/>
    </row>
    <row r="97" spans="2:16" ht="15" customHeight="1" x14ac:dyDescent="0.2">
      <c r="B97" s="236" t="s">
        <v>731</v>
      </c>
      <c r="C97" s="247" t="e">
        <f>Grundlagen!AK144</f>
        <v>#DIV/0!</v>
      </c>
      <c r="D97" s="279"/>
      <c r="E97" s="766"/>
      <c r="F97" s="898"/>
      <c r="G97" s="898"/>
      <c r="H97" s="283" t="e">
        <f>Grundlagen!AL144</f>
        <v>#DIV/0!</v>
      </c>
      <c r="I97" s="267" t="str">
        <f>INDEX(Texte,156,$N$2)</f>
        <v>Gesamt-P g/Tag</v>
      </c>
      <c r="J97" s="907"/>
      <c r="K97" s="907"/>
      <c r="L97" s="907"/>
      <c r="M97" s="907"/>
      <c r="N97" s="273"/>
      <c r="O97" s="767"/>
      <c r="P97" s="253"/>
    </row>
    <row r="98" spans="2:16" ht="15" customHeight="1" x14ac:dyDescent="0.2">
      <c r="B98" s="220" t="s">
        <v>976</v>
      </c>
      <c r="D98" s="264"/>
      <c r="E98" s="766"/>
      <c r="F98" s="898"/>
      <c r="G98" s="898"/>
      <c r="H98" s="273"/>
      <c r="I98" s="273"/>
      <c r="J98" s="273"/>
      <c r="K98" s="273"/>
      <c r="L98" s="273"/>
      <c r="M98" s="273"/>
      <c r="N98" s="273"/>
      <c r="O98" s="767"/>
      <c r="P98" s="253"/>
    </row>
    <row r="99" spans="2:16" ht="15" customHeight="1" thickBot="1" x14ac:dyDescent="0.25">
      <c r="B99" s="236" t="s">
        <v>751</v>
      </c>
      <c r="C99" s="248" t="e">
        <f>IF(J27&gt;0,Grundlagen!AK148,C96*0.3)</f>
        <v>#DIV/0!</v>
      </c>
      <c r="D99" s="264"/>
      <c r="E99" s="766"/>
      <c r="F99" s="284" t="str">
        <f>INDEX(Texte,158,$N$2)</f>
        <v>Hinweise:</v>
      </c>
      <c r="G99" s="259"/>
      <c r="H99" s="259"/>
      <c r="I99" s="259"/>
      <c r="J99" s="259"/>
      <c r="K99" s="259"/>
      <c r="L99" s="259"/>
      <c r="M99" s="259"/>
      <c r="N99" s="259"/>
      <c r="O99" s="767"/>
      <c r="P99" s="253"/>
    </row>
    <row r="100" spans="2:16" ht="15" customHeight="1" x14ac:dyDescent="0.2">
      <c r="B100" s="236" t="s">
        <v>752</v>
      </c>
      <c r="C100" s="248" t="e">
        <f>IF(J27&gt;0,Grundlagen!AK149,C97*0.3)</f>
        <v>#DIV/0!</v>
      </c>
      <c r="D100" s="264"/>
      <c r="E100" s="766"/>
      <c r="F100" s="899" t="str">
        <f>INDEX(Texte,159,$N$2)</f>
        <v>Sie haben nicht alle Muss-Felder ausgefüllt, dadurch kann eine schlechtere Bewertung resultieren. Füllen Sie alle Muss-Felder aus !</v>
      </c>
      <c r="G100" s="900"/>
      <c r="H100" s="900"/>
      <c r="I100" s="900"/>
      <c r="J100" s="900"/>
      <c r="K100" s="900"/>
      <c r="L100" s="900"/>
      <c r="M100" s="900"/>
      <c r="N100" s="901"/>
      <c r="O100" s="767"/>
      <c r="P100" s="253"/>
    </row>
    <row r="101" spans="2:16" ht="15" customHeight="1" thickBot="1" x14ac:dyDescent="0.25">
      <c r="B101" s="444" t="s">
        <v>903</v>
      </c>
      <c r="C101" s="829">
        <f>J12</f>
        <v>0</v>
      </c>
      <c r="D101" s="264"/>
      <c r="E101" s="766"/>
      <c r="F101" s="902"/>
      <c r="G101" s="903"/>
      <c r="H101" s="903"/>
      <c r="I101" s="903"/>
      <c r="J101" s="903"/>
      <c r="K101" s="903"/>
      <c r="L101" s="903"/>
      <c r="M101" s="903"/>
      <c r="N101" s="904"/>
      <c r="O101" s="767"/>
      <c r="P101" s="253"/>
    </row>
    <row r="102" spans="2:16" ht="15" customHeight="1" x14ac:dyDescent="0.2">
      <c r="B102" s="444" t="s">
        <v>901</v>
      </c>
      <c r="C102" s="232">
        <f>IF(C101&gt;0,IF(C100&gt;C101,1,0),0)</f>
        <v>0</v>
      </c>
      <c r="D102" s="264"/>
      <c r="E102" s="766"/>
      <c r="F102" s="947" t="str">
        <f>IF((C108+C107)&gt;0,IF(Gewaesserbelastung!A64&lt;4,Gewaesserbelastung!B64,""),"")</f>
        <v/>
      </c>
      <c r="G102" s="948"/>
      <c r="H102" s="948"/>
      <c r="I102" s="948"/>
      <c r="J102" s="948"/>
      <c r="K102" s="948"/>
      <c r="L102" s="948"/>
      <c r="M102" s="948"/>
      <c r="N102" s="949"/>
      <c r="O102" s="767"/>
      <c r="P102" s="253"/>
    </row>
    <row r="103" spans="2:16" ht="15" customHeight="1" x14ac:dyDescent="0.2">
      <c r="D103" s="264"/>
      <c r="E103" s="766"/>
      <c r="F103" s="932" t="str">
        <f>IF((C108+C107)&gt;0,IF(Gewaesserbelastung!A64&gt;1,IF(Gewaesserbelastung!A65=2,Gewaesserbelastung!B65,""),""),"")</f>
        <v/>
      </c>
      <c r="G103" s="933"/>
      <c r="H103" s="933"/>
      <c r="I103" s="933"/>
      <c r="J103" s="933"/>
      <c r="K103" s="933"/>
      <c r="L103" s="933"/>
      <c r="M103" s="933"/>
      <c r="N103" s="934"/>
      <c r="O103" s="767"/>
      <c r="P103" s="253"/>
    </row>
    <row r="104" spans="2:16" ht="15" customHeight="1" x14ac:dyDescent="0.2">
      <c r="B104" s="249" t="s">
        <v>1053</v>
      </c>
      <c r="C104" s="250">
        <f>C12+C43+C55</f>
        <v>3</v>
      </c>
      <c r="D104" s="264"/>
      <c r="E104" s="766"/>
      <c r="F104" s="932" t="str">
        <f>IF((C108+C107)&gt;0,IF(Gewaesserbelastung!A66=1,Gewaesserbelastung!B66,""),"")</f>
        <v/>
      </c>
      <c r="G104" s="933"/>
      <c r="H104" s="933"/>
      <c r="I104" s="933"/>
      <c r="J104" s="933"/>
      <c r="K104" s="933"/>
      <c r="L104" s="933"/>
      <c r="M104" s="933"/>
      <c r="N104" s="934"/>
      <c r="O104" s="767"/>
      <c r="P104" s="253"/>
    </row>
    <row r="105" spans="2:16" ht="15" customHeight="1" x14ac:dyDescent="0.2">
      <c r="D105" s="264"/>
      <c r="E105" s="766"/>
      <c r="F105" s="935" t="str">
        <f>IF((C108+C107)&gt;0,IF(Gewaesserbelastung!A67&lt;3,Gewaesserbelastung!B67,""),"")</f>
        <v/>
      </c>
      <c r="G105" s="936"/>
      <c r="H105" s="936"/>
      <c r="I105" s="936"/>
      <c r="J105" s="936"/>
      <c r="K105" s="936"/>
      <c r="L105" s="936"/>
      <c r="M105" s="936"/>
      <c r="N105" s="937"/>
      <c r="O105" s="767"/>
      <c r="P105" s="253"/>
    </row>
    <row r="106" spans="2:16" ht="15" customHeight="1" thickBot="1" x14ac:dyDescent="0.25">
      <c r="B106" s="220" t="s">
        <v>780</v>
      </c>
      <c r="C106" s="251">
        <f>COUNTIF(L87:M93,tragbar)</f>
        <v>0</v>
      </c>
      <c r="D106" s="264"/>
      <c r="E106" s="766"/>
      <c r="F106" s="893" t="str">
        <f>IF((C108+C107)&gt;0,IF(Gewaesserbelastung!A64=4,IF(Gewaesserbelastung!A65=1,IF(Gewaesserbelastung!A67&gt;1,Gewaesserbelastung!B68,""),""),""),"")</f>
        <v/>
      </c>
      <c r="G106" s="894"/>
      <c r="H106" s="894"/>
      <c r="I106" s="894"/>
      <c r="J106" s="894"/>
      <c r="K106" s="894"/>
      <c r="L106" s="894"/>
      <c r="M106" s="894"/>
      <c r="N106" s="895"/>
      <c r="O106" s="767"/>
      <c r="P106" s="253"/>
    </row>
    <row r="107" spans="2:16" ht="15" customHeight="1" x14ac:dyDescent="0.2">
      <c r="B107" s="220" t="s">
        <v>781</v>
      </c>
      <c r="C107" s="252">
        <f>COUNTIF(L87:M93,kritisch)</f>
        <v>0</v>
      </c>
      <c r="D107" s="264"/>
      <c r="E107" s="766"/>
      <c r="F107" s="273"/>
      <c r="G107" s="273"/>
      <c r="H107" s="273"/>
      <c r="I107" s="273"/>
      <c r="J107" s="273"/>
      <c r="K107" s="273"/>
      <c r="L107" s="273"/>
      <c r="M107" s="273"/>
      <c r="N107" s="273"/>
      <c r="O107" s="767"/>
      <c r="P107" s="253"/>
    </row>
    <row r="108" spans="2:16" ht="15" customHeight="1" thickBot="1" x14ac:dyDescent="0.25">
      <c r="B108" s="220" t="s">
        <v>782</v>
      </c>
      <c r="C108" s="252">
        <f>COUNTIF(L87:M93,nicht)</f>
        <v>0</v>
      </c>
      <c r="D108" s="279"/>
      <c r="E108" s="766"/>
      <c r="F108" s="905" t="str">
        <f>INDEX(Texte,169,$N$2)</f>
        <v>Zusammenfassende Beurteilung der Abwassereinleitung in den Bach:</v>
      </c>
      <c r="G108" s="905"/>
      <c r="H108" s="905"/>
      <c r="I108" s="905"/>
      <c r="J108" s="905"/>
      <c r="K108" s="905"/>
      <c r="L108" s="905"/>
      <c r="M108" s="905"/>
      <c r="N108" s="905"/>
      <c r="O108" s="767"/>
      <c r="P108" s="253"/>
    </row>
    <row r="109" spans="2:16" ht="15" customHeight="1" x14ac:dyDescent="0.2">
      <c r="B109" s="220" t="s">
        <v>357</v>
      </c>
      <c r="C109" s="232">
        <f>SUM(C106:C108)</f>
        <v>0</v>
      </c>
      <c r="D109" s="264"/>
      <c r="E109" s="766"/>
      <c r="F109" s="941" t="e">
        <f>VLOOKUP(1,Beurteilungstext,2,0)</f>
        <v>#N/A</v>
      </c>
      <c r="G109" s="942"/>
      <c r="H109" s="942"/>
      <c r="I109" s="942"/>
      <c r="J109" s="942"/>
      <c r="K109" s="942"/>
      <c r="L109" s="942"/>
      <c r="M109" s="942"/>
      <c r="N109" s="943"/>
      <c r="O109" s="767"/>
      <c r="P109" s="253"/>
    </row>
    <row r="110" spans="2:16" ht="15" customHeight="1" thickBot="1" x14ac:dyDescent="0.25">
      <c r="B110" s="220" t="s">
        <v>914</v>
      </c>
      <c r="C110" s="741">
        <f>Gewaesserbelastung!A70</f>
        <v>8</v>
      </c>
      <c r="D110" s="264"/>
      <c r="E110" s="766"/>
      <c r="F110" s="944"/>
      <c r="G110" s="945"/>
      <c r="H110" s="945"/>
      <c r="I110" s="945"/>
      <c r="J110" s="945"/>
      <c r="K110" s="945"/>
      <c r="L110" s="945"/>
      <c r="M110" s="945"/>
      <c r="N110" s="946"/>
      <c r="O110" s="767"/>
      <c r="P110" s="253"/>
    </row>
    <row r="111" spans="2:16" ht="15" customHeight="1" x14ac:dyDescent="0.2">
      <c r="B111" s="221"/>
      <c r="C111" s="221"/>
      <c r="D111" s="264"/>
      <c r="E111" s="766"/>
      <c r="F111" s="906"/>
      <c r="G111" s="906"/>
      <c r="H111" s="906"/>
      <c r="I111" s="906"/>
      <c r="J111" s="906"/>
      <c r="K111" s="906"/>
      <c r="L111" s="906"/>
      <c r="M111" s="906"/>
      <c r="N111" s="906"/>
      <c r="O111" s="767"/>
      <c r="P111" s="253"/>
    </row>
    <row r="112" spans="2:16" ht="15" customHeight="1" x14ac:dyDescent="0.2">
      <c r="B112" s="221"/>
      <c r="C112" s="221"/>
      <c r="D112" s="264"/>
      <c r="E112" s="766"/>
      <c r="F112" s="762"/>
      <c r="G112" s="762"/>
      <c r="H112" s="762"/>
      <c r="I112" s="762"/>
      <c r="J112" s="762"/>
      <c r="K112" s="762"/>
      <c r="L112" s="762"/>
      <c r="M112" s="762"/>
      <c r="N112" s="762"/>
      <c r="O112" s="767"/>
      <c r="P112" s="253"/>
    </row>
    <row r="113" spans="1:17" ht="15" customHeight="1" thickBot="1" x14ac:dyDescent="0.25">
      <c r="B113" s="221"/>
      <c r="C113" s="221"/>
      <c r="D113" s="264"/>
      <c r="E113" s="273"/>
      <c r="F113" s="259"/>
      <c r="G113" s="259"/>
      <c r="H113" s="259"/>
      <c r="I113" s="259"/>
      <c r="J113" s="259"/>
      <c r="K113" s="259"/>
      <c r="L113" s="259"/>
      <c r="M113" s="259"/>
      <c r="N113" s="259"/>
      <c r="O113" s="273"/>
      <c r="P113" s="253"/>
    </row>
    <row r="114" spans="1:17" ht="15" customHeight="1" thickTop="1" x14ac:dyDescent="0.2">
      <c r="B114" s="221"/>
      <c r="C114" s="221"/>
      <c r="D114" s="285"/>
      <c r="E114" s="277"/>
      <c r="F114" s="286"/>
      <c r="G114" s="286"/>
      <c r="H114" s="286"/>
      <c r="I114" s="286"/>
      <c r="J114" s="286"/>
      <c r="K114" s="286"/>
      <c r="L114" s="286"/>
      <c r="M114" s="286"/>
      <c r="N114" s="286"/>
      <c r="O114" s="277"/>
      <c r="P114" s="277"/>
    </row>
    <row r="115" spans="1:17" ht="15" customHeight="1" x14ac:dyDescent="0.25">
      <c r="B115" s="221"/>
      <c r="C115" s="221"/>
      <c r="D115" s="264"/>
      <c r="E115" s="273"/>
      <c r="F115" s="254" t="str">
        <f>INDEX(Texte,170,$N$2)</f>
        <v>8. Auflagen und Bedingungen</v>
      </c>
      <c r="G115" s="259"/>
      <c r="H115" s="259"/>
      <c r="I115" s="259"/>
      <c r="J115" s="259"/>
      <c r="K115" s="259"/>
      <c r="L115" s="259"/>
      <c r="M115" s="259"/>
      <c r="N115" s="259"/>
      <c r="O115" s="273"/>
      <c r="P115" s="253"/>
    </row>
    <row r="116" spans="1:17" ht="15" customHeight="1" x14ac:dyDescent="0.2">
      <c r="B116" s="221"/>
      <c r="C116" s="221"/>
      <c r="D116" s="264"/>
      <c r="E116" s="273"/>
      <c r="F116" s="253"/>
      <c r="G116" s="259"/>
      <c r="H116" s="259"/>
      <c r="I116" s="259"/>
      <c r="J116" s="259"/>
      <c r="K116" s="259"/>
      <c r="L116" s="259"/>
      <c r="M116" s="259"/>
      <c r="N116" s="259"/>
      <c r="O116" s="273"/>
      <c r="P116" s="253"/>
    </row>
    <row r="117" spans="1:17" ht="15" customHeight="1" x14ac:dyDescent="0.2">
      <c r="B117" s="221"/>
      <c r="C117" s="221"/>
      <c r="D117" s="264"/>
      <c r="E117" s="273"/>
      <c r="F117" s="897" t="str">
        <f>INDEX(Texte,171,$N$2)</f>
        <v>Im Blatt Anleitung sind die wichtigsten Auflagen und Bedingungen für eine Bewilligung aufgeführt. Unten finden Sie zusätzliche generelle und projektspezifische Auflagen, die in einer allfälligen Bewilligung zu erwarten sind. Diese sind nicht abschliessend, je nach Situation können weitere hinzukommen.</v>
      </c>
      <c r="G117" s="897"/>
      <c r="H117" s="897"/>
      <c r="I117" s="897"/>
      <c r="J117" s="897"/>
      <c r="K117" s="897"/>
      <c r="L117" s="897"/>
      <c r="M117" s="897"/>
      <c r="N117" s="897"/>
      <c r="O117" s="273"/>
      <c r="P117" s="253"/>
    </row>
    <row r="118" spans="1:17" ht="15" customHeight="1" x14ac:dyDescent="0.2">
      <c r="B118" s="221"/>
      <c r="C118" s="221"/>
      <c r="D118" s="264"/>
      <c r="E118" s="273"/>
      <c r="F118" s="897"/>
      <c r="G118" s="897"/>
      <c r="H118" s="897"/>
      <c r="I118" s="897"/>
      <c r="J118" s="897"/>
      <c r="K118" s="897"/>
      <c r="L118" s="897"/>
      <c r="M118" s="897"/>
      <c r="N118" s="897"/>
      <c r="O118" s="273"/>
      <c r="P118" s="253"/>
    </row>
    <row r="119" spans="1:17" ht="15" customHeight="1" x14ac:dyDescent="0.2">
      <c r="B119" s="221"/>
      <c r="C119" s="221"/>
      <c r="D119" s="264"/>
      <c r="E119" s="273"/>
      <c r="F119" s="897"/>
      <c r="G119" s="897"/>
      <c r="H119" s="897"/>
      <c r="I119" s="897"/>
      <c r="J119" s="897"/>
      <c r="K119" s="897"/>
      <c r="L119" s="897"/>
      <c r="M119" s="897"/>
      <c r="N119" s="897"/>
      <c r="O119" s="273"/>
      <c r="P119" s="253"/>
    </row>
    <row r="120" spans="1:17" ht="15" customHeight="1" x14ac:dyDescent="0.2">
      <c r="B120" s="221"/>
      <c r="C120" s="221"/>
      <c r="D120" s="264"/>
      <c r="E120" s="273"/>
      <c r="F120" s="896" t="str">
        <f>INDEX(Texte,172,$N$2)</f>
        <v>Generelle Auflagen und Bedingungen:</v>
      </c>
      <c r="G120" s="896"/>
      <c r="H120" s="896"/>
      <c r="I120" s="896"/>
      <c r="J120" s="896"/>
      <c r="K120" s="896"/>
      <c r="L120" s="896"/>
      <c r="M120" s="896"/>
      <c r="N120" s="896"/>
      <c r="O120" s="273"/>
      <c r="P120" s="253"/>
    </row>
    <row r="121" spans="1:17" ht="24.95" customHeight="1" x14ac:dyDescent="0.2">
      <c r="B121" s="221"/>
      <c r="C121" s="221"/>
      <c r="D121" s="264"/>
      <c r="E121" s="273"/>
      <c r="F121" s="929" t="str">
        <f>INDEX(Texte,173,$N$2)</f>
        <v>Die eingereichten Angaben und Unterlagen sind verbindlich. Änderungen am Projekt oder Ausführungen, die nicht den eingereichten Unterlagen entsprechen, bedürfen der Zustimmung von uwe.</v>
      </c>
      <c r="G121" s="930"/>
      <c r="H121" s="930"/>
      <c r="I121" s="930"/>
      <c r="J121" s="930"/>
      <c r="K121" s="930"/>
      <c r="L121" s="930"/>
      <c r="M121" s="930"/>
      <c r="N121" s="931"/>
      <c r="O121" s="273"/>
      <c r="P121" s="253"/>
    </row>
    <row r="122" spans="1:17" s="444" customFormat="1" ht="24.95" customHeight="1" x14ac:dyDescent="0.2">
      <c r="A122" s="758"/>
      <c r="D122" s="257"/>
      <c r="E122" s="281"/>
      <c r="F122" s="929" t="str">
        <f>INDEX(Texte,174,$N$2)</f>
        <v>In Fischzuchtanlagen darf nur phosphorarmes Futtermittel verwendet werden.</v>
      </c>
      <c r="G122" s="930"/>
      <c r="H122" s="930"/>
      <c r="I122" s="930"/>
      <c r="J122" s="930"/>
      <c r="K122" s="930"/>
      <c r="L122" s="930"/>
      <c r="M122" s="930"/>
      <c r="N122" s="931"/>
      <c r="O122" s="281"/>
      <c r="P122" s="257"/>
      <c r="Q122" s="758"/>
    </row>
    <row r="123" spans="1:17" s="760" customFormat="1" ht="24.95" customHeight="1" x14ac:dyDescent="0.2">
      <c r="A123" s="759"/>
      <c r="D123" s="257"/>
      <c r="E123" s="769"/>
      <c r="F123" s="929" t="str">
        <f>INDEX(Texte,175,$N$2)</f>
        <v>Schlämme aus der Entschlammung oder der Feststoffabtrennung müssen landwirtschaftlich verwertet werden oder in eine Biogasanlage oder in den Faulturm einer Kläranlage gebracht werden.</v>
      </c>
      <c r="G123" s="930"/>
      <c r="H123" s="930"/>
      <c r="I123" s="930"/>
      <c r="J123" s="930"/>
      <c r="K123" s="930"/>
      <c r="L123" s="930"/>
      <c r="M123" s="930"/>
      <c r="N123" s="931"/>
      <c r="O123" s="769"/>
      <c r="P123" s="268"/>
      <c r="Q123" s="759"/>
    </row>
    <row r="124" spans="1:17" ht="24.95" customHeight="1" x14ac:dyDescent="0.2">
      <c r="B124" s="444"/>
      <c r="C124" s="240"/>
      <c r="D124" s="264"/>
      <c r="E124" s="273"/>
      <c r="F124" s="929" t="str">
        <f>INDEX(Texte,176,$N$2)</f>
        <v>Die Gewässerbelastung durch das Abwasser der Fischzuchtanlage muss überprüft werden. D.h. im abgeleiteten Abwasser sind regelmässig Analysen durchzuführen (organische Stoffe, Nährstoffe, Gesamt ungelöste Stoffe). Die Details werden in der Bewilligung geregelt.</v>
      </c>
      <c r="G124" s="930"/>
      <c r="H124" s="930"/>
      <c r="I124" s="930"/>
      <c r="J124" s="930"/>
      <c r="K124" s="930"/>
      <c r="L124" s="930"/>
      <c r="M124" s="930"/>
      <c r="N124" s="931"/>
      <c r="O124" s="273"/>
      <c r="P124" s="253"/>
    </row>
    <row r="125" spans="1:17" ht="24.95" customHeight="1" x14ac:dyDescent="0.2">
      <c r="B125" s="444"/>
      <c r="C125" s="240"/>
      <c r="D125" s="264"/>
      <c r="E125" s="273"/>
      <c r="F125" s="929" t="str">
        <f>INDEX(Texte,177,$N$2)</f>
        <v>Es ist ein Betriebsprotokoll zu führen, worin unter anderem die produzierte Fischmenge, der Verbrauch an Futtermitteln, die anfallenden Schlammmengen und deren Entsorgung etc. festgehalten werden.</v>
      </c>
      <c r="G125" s="930"/>
      <c r="H125" s="930"/>
      <c r="I125" s="930"/>
      <c r="J125" s="930"/>
      <c r="K125" s="930"/>
      <c r="L125" s="930"/>
      <c r="M125" s="930"/>
      <c r="N125" s="931"/>
      <c r="O125" s="273"/>
      <c r="P125" s="253"/>
    </row>
    <row r="126" spans="1:17" ht="24.95" customHeight="1" x14ac:dyDescent="0.2">
      <c r="B126" s="444"/>
      <c r="C126" s="240"/>
      <c r="D126" s="264"/>
      <c r="E126" s="273"/>
      <c r="F126" s="929" t="str">
        <f>INDEX(Texte,178,$N$2)</f>
        <v>Störungen und Abweichungen vom Normalbetrieb sind unverzüglich zu beheben und ausserordentliche Ereignisse sind uwe zu melden.</v>
      </c>
      <c r="G126" s="930"/>
      <c r="H126" s="930"/>
      <c r="I126" s="930"/>
      <c r="J126" s="930"/>
      <c r="K126" s="930"/>
      <c r="L126" s="930"/>
      <c r="M126" s="930"/>
      <c r="N126" s="931"/>
      <c r="O126" s="273"/>
      <c r="P126" s="253"/>
    </row>
    <row r="127" spans="1:17" ht="24.95" customHeight="1" x14ac:dyDescent="0.2">
      <c r="B127" s="444"/>
      <c r="C127" s="240"/>
      <c r="D127" s="264"/>
      <c r="E127" s="273"/>
      <c r="F127" s="929" t="str">
        <f>INDEX(Texte,179,$N$2)</f>
        <v>Die Weiterverarbeitung (Schlachtung etc.) der Fische ist hier nicht berücksichtigt. Daraus können sich zusätzliche Auflagen ergeben.</v>
      </c>
      <c r="G127" s="930"/>
      <c r="H127" s="930"/>
      <c r="I127" s="930"/>
      <c r="J127" s="930"/>
      <c r="K127" s="930"/>
      <c r="L127" s="930"/>
      <c r="M127" s="930"/>
      <c r="N127" s="931"/>
      <c r="O127" s="273"/>
      <c r="P127" s="253"/>
    </row>
    <row r="128" spans="1:17" ht="15" customHeight="1" x14ac:dyDescent="0.2">
      <c r="B128" s="221"/>
      <c r="C128" s="221"/>
      <c r="D128" s="264"/>
      <c r="E128" s="273"/>
      <c r="F128" s="761" t="str">
        <f>INDEX(Texte,180,$N$2)</f>
        <v>Spezifische Auflagen und Bedingungen:</v>
      </c>
      <c r="G128" s="273"/>
      <c r="H128" s="273"/>
      <c r="I128" s="761" t="str">
        <f>G18</f>
        <v>c) Kreislaufanlage</v>
      </c>
      <c r="J128" s="273"/>
      <c r="K128" s="273"/>
      <c r="L128" s="273"/>
      <c r="M128" s="273"/>
      <c r="N128" s="273"/>
      <c r="O128" s="273"/>
      <c r="P128" s="253"/>
    </row>
    <row r="129" spans="1:17" ht="24.95" customHeight="1" x14ac:dyDescent="0.2">
      <c r="B129" s="750" t="s">
        <v>942</v>
      </c>
      <c r="C129" s="750">
        <v>1</v>
      </c>
      <c r="D129" s="264"/>
      <c r="E129" s="273"/>
      <c r="F129" s="926" t="str">
        <f>IF(ISBLANK(VLOOKUP(G18,Zusatzauflagen,2)),"",VLOOKUP(G18,Zusatzauflagen,2))</f>
        <v/>
      </c>
      <c r="G129" s="927"/>
      <c r="H129" s="927"/>
      <c r="I129" s="927"/>
      <c r="J129" s="927"/>
      <c r="K129" s="927"/>
      <c r="L129" s="927"/>
      <c r="M129" s="927"/>
      <c r="N129" s="928"/>
      <c r="O129" s="273"/>
      <c r="P129" s="253"/>
    </row>
    <row r="130" spans="1:17" ht="24.95" customHeight="1" x14ac:dyDescent="0.2">
      <c r="C130" s="750">
        <v>2</v>
      </c>
      <c r="D130" s="264"/>
      <c r="E130" s="273"/>
      <c r="F130" s="926" t="str">
        <f>IF(ISBLANK(VLOOKUP(G18,Zusatzauflagen,3)),"",VLOOKUP(G18,Zusatzauflagen,3))</f>
        <v>Die Abwasserableitung darf bei Kreislaufanlagen erst nach der internen Wasseraufbereitung (Biofilter) erfolgen.</v>
      </c>
      <c r="G130" s="927"/>
      <c r="H130" s="927"/>
      <c r="I130" s="927"/>
      <c r="J130" s="927"/>
      <c r="K130" s="927"/>
      <c r="L130" s="927"/>
      <c r="M130" s="927"/>
      <c r="N130" s="928"/>
      <c r="O130" s="273"/>
      <c r="P130" s="253"/>
    </row>
    <row r="131" spans="1:17" ht="24.95" customHeight="1" x14ac:dyDescent="0.2">
      <c r="C131" s="750">
        <v>3</v>
      </c>
      <c r="D131" s="264"/>
      <c r="E131" s="273"/>
      <c r="F131" s="926" t="str">
        <f>IF(ISBLANK(VLOOKUP(G18,Zusatzauflagen,4)),"",VLOOKUP(G18,Zusatzauflagen,4))</f>
        <v>Das Klarwasser aus der Schlammentwässerung und allfälliges Presswasser muss über den Feststoffilter und den Biofilter geführt werden.</v>
      </c>
      <c r="G131" s="927"/>
      <c r="H131" s="927"/>
      <c r="I131" s="927"/>
      <c r="J131" s="927"/>
      <c r="K131" s="927"/>
      <c r="L131" s="927"/>
      <c r="M131" s="927"/>
      <c r="N131" s="928"/>
      <c r="O131" s="273"/>
      <c r="P131" s="253"/>
    </row>
    <row r="132" spans="1:17" s="246" customFormat="1" ht="24.95" customHeight="1" x14ac:dyDescent="0.2">
      <c r="A132" s="288"/>
      <c r="C132" s="751">
        <v>4</v>
      </c>
      <c r="D132" s="270"/>
      <c r="E132" s="282"/>
      <c r="F132" s="926" t="str">
        <f>IF(ISBLANK(VLOOKUP(G18,Zusatzauflagen,5)),"",VLOOKUP(G18,Zusatzauflagen,5))</f>
        <v>Es dürfen keinerlei andere Abwässer z.B. aus Reinigung, Desinfektion oder Behandlung mit Medikamenten etc. ins Gewässer eingeleitet werden.</v>
      </c>
      <c r="G132" s="927"/>
      <c r="H132" s="927"/>
      <c r="I132" s="927"/>
      <c r="J132" s="927"/>
      <c r="K132" s="927"/>
      <c r="L132" s="927"/>
      <c r="M132" s="927"/>
      <c r="N132" s="928"/>
      <c r="O132" s="282"/>
      <c r="P132" s="270"/>
      <c r="Q132" s="288"/>
    </row>
    <row r="133" spans="1:17" ht="15" customHeight="1" x14ac:dyDescent="0.2">
      <c r="D133" s="264"/>
      <c r="E133" s="273"/>
      <c r="F133" s="259"/>
      <c r="G133" s="259"/>
      <c r="H133" s="259"/>
      <c r="I133" s="259"/>
      <c r="J133" s="259"/>
      <c r="K133" s="259"/>
      <c r="L133" s="259"/>
      <c r="M133" s="259"/>
      <c r="N133" s="776"/>
      <c r="O133" s="273"/>
      <c r="P133" s="253"/>
    </row>
    <row r="134" spans="1:17" ht="15" hidden="1" customHeight="1" x14ac:dyDescent="0.2"/>
    <row r="135" spans="1:17" hidden="1" x14ac:dyDescent="0.2"/>
    <row r="136" spans="1:17" hidden="1" x14ac:dyDescent="0.2">
      <c r="F136" s="445" t="s">
        <v>802</v>
      </c>
    </row>
    <row r="137" spans="1:17" hidden="1" x14ac:dyDescent="0.2">
      <c r="F137" s="221" t="s">
        <v>902</v>
      </c>
      <c r="G137" s="749">
        <v>1</v>
      </c>
      <c r="H137" s="749">
        <v>2</v>
      </c>
      <c r="I137" s="749">
        <v>3</v>
      </c>
      <c r="J137" s="749">
        <v>4</v>
      </c>
    </row>
    <row r="138" spans="1:17" hidden="1" x14ac:dyDescent="0.2">
      <c r="F138" s="483" t="str">
        <f>INDEX(Texte,181,$N$2)</f>
        <v>a) Durchflussanlage</v>
      </c>
      <c r="G138" s="772" t="str">
        <f>INDEX(Texte,182,$N$2)</f>
        <v>Schlämme aus der Entschlammung oder der Feststoffabtrennung müssen landwirtschaftlich verwertet werden oder in eine Biogasanlage gebracht werden.</v>
      </c>
      <c r="H138" s="774" t="str">
        <f>INDEX(Texte,183,$N$2)</f>
        <v>Es dürfen keinerlei andere Abwässer z.B. aus Reinigung, Desinfektion oder Behandlung mit Medikamenten etc. ins Gewässer eingeleitet werden.</v>
      </c>
      <c r="I138" s="773">
        <f>INDEX(Texte,184,$N$2)</f>
        <v>0</v>
      </c>
      <c r="J138" s="773">
        <f>INDEX(Texte,185,$N$2)</f>
        <v>0</v>
      </c>
    </row>
    <row r="139" spans="1:17" hidden="1" x14ac:dyDescent="0.2">
      <c r="F139" s="483" t="str">
        <f>INDEX(Texte,186,$N$2)</f>
        <v>b) Teichanlage</v>
      </c>
      <c r="G139" s="773" t="str">
        <f>INDEX(Texte,187,$N$2)</f>
        <v>Der Schlamm aus Teichanlagen darf nicht in ein Gewässer eingeleitet werden, er ist landwirtschaftlich zu verwerten.</v>
      </c>
      <c r="H139" s="774" t="str">
        <f>INDEX(Texte,188,$N$2)</f>
        <v>Es dürfen keinerlei andere Abwässer z.B. aus Reinigung, Desinfektion oder Behandlung mit Medikamenten etc. ins Gewässer eingeleitet werden.</v>
      </c>
      <c r="I139" s="773">
        <f>INDEX(Texte,189,$N$2)</f>
        <v>0</v>
      </c>
      <c r="J139" s="773">
        <f>INDEX(Texte,190,$N$2)</f>
        <v>0</v>
      </c>
    </row>
    <row r="140" spans="1:17" hidden="1" x14ac:dyDescent="0.2">
      <c r="F140" s="483" t="str">
        <f>INDEX(Texte,191,$N$2)</f>
        <v>c) Kreislaufanlage</v>
      </c>
      <c r="G140" s="771" t="str">
        <f>IF(C102=1,INDEX(Texte,192,$N$2),"")</f>
        <v/>
      </c>
      <c r="H140" s="773" t="str">
        <f>INDEX(Texte,193,$N$2)</f>
        <v>Die Abwasserableitung darf bei Kreislaufanlagen erst nach der internen Wasseraufbereitung (Biofilter) erfolgen.</v>
      </c>
      <c r="I140" s="773" t="str">
        <f>INDEX(Texte,194,$N$2)</f>
        <v>Das Klarwasser aus der Schlammentwässerung und allfälliges Presswasser muss über den Feststoffilter und den Biofilter geführt werden.</v>
      </c>
      <c r="J140" s="774" t="str">
        <f>INDEX(Texte,195,$N$2)</f>
        <v>Es dürfen keinerlei andere Abwässer z.B. aus Reinigung, Desinfektion oder Behandlung mit Medikamenten etc. ins Gewässer eingeleitet werden.</v>
      </c>
    </row>
    <row r="141" spans="1:17" hidden="1" x14ac:dyDescent="0.2"/>
    <row r="142" spans="1:17" hidden="1" x14ac:dyDescent="0.2"/>
    <row r="143" spans="1:17" hidden="1" x14ac:dyDescent="0.2"/>
    <row r="144" spans="1:17"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t="12.75" hidden="1" customHeight="1" x14ac:dyDescent="0.2"/>
  </sheetData>
  <sheetProtection password="D65F" sheet="1" objects="1" scenarios="1"/>
  <customSheetViews>
    <customSheetView guid="{2A376E74-9008-4CC4-AF78-5E9088D4FA1D}" showPageBreaks="1" showGridLines="0" showRowCol="0" printArea="1" hiddenRows="1" hiddenColumns="1">
      <rowBreaks count="1" manualBreakCount="1">
        <brk id="71" min="3" max="15" man="1"/>
      </rowBreaks>
      <pageMargins left="0.70866141732283472" right="0.70866141732283472" top="0.78740157480314965" bottom="0.78740157480314965" header="0.31496062992125984" footer="0.31496062992125984"/>
      <printOptions horizontalCentered="1" verticalCentered="1"/>
      <pageSetup paperSize="9" scale="56" fitToHeight="2" orientation="portrait" horizontalDpi="4294967293" verticalDpi="0" r:id="rId1"/>
      <headerFooter>
        <oddFooter>&amp;Luwe Luzern März 2016&amp;C&amp;D&amp;R&amp;Z&amp;F</oddFooter>
      </headerFooter>
    </customSheetView>
  </customSheetViews>
  <mergeCells count="71">
    <mergeCell ref="G11:I11"/>
    <mergeCell ref="G12:I12"/>
    <mergeCell ref="F33:K34"/>
    <mergeCell ref="L41:N41"/>
    <mergeCell ref="G18:H18"/>
    <mergeCell ref="I18:N18"/>
    <mergeCell ref="I19:N19"/>
    <mergeCell ref="J25:L25"/>
    <mergeCell ref="G19:H19"/>
    <mergeCell ref="G2:M2"/>
    <mergeCell ref="F109:N110"/>
    <mergeCell ref="F102:N102"/>
    <mergeCell ref="F103:N103"/>
    <mergeCell ref="F44:I44"/>
    <mergeCell ref="J75:N75"/>
    <mergeCell ref="F75:I75"/>
    <mergeCell ref="J80:N80"/>
    <mergeCell ref="J79:N79"/>
    <mergeCell ref="G6:H6"/>
    <mergeCell ref="G7:H7"/>
    <mergeCell ref="I8:J8"/>
    <mergeCell ref="G10:J10"/>
    <mergeCell ref="G13:J13"/>
    <mergeCell ref="I20:N20"/>
    <mergeCell ref="L27:N28"/>
    <mergeCell ref="F121:N121"/>
    <mergeCell ref="F122:N122"/>
    <mergeCell ref="F104:N104"/>
    <mergeCell ref="F105:N105"/>
    <mergeCell ref="H69:I69"/>
    <mergeCell ref="F70:G70"/>
    <mergeCell ref="F79:G79"/>
    <mergeCell ref="H79:I79"/>
    <mergeCell ref="F80:G80"/>
    <mergeCell ref="H73:N73"/>
    <mergeCell ref="H70:I70"/>
    <mergeCell ref="J70:N70"/>
    <mergeCell ref="H71:N71"/>
    <mergeCell ref="F131:N131"/>
    <mergeCell ref="F132:N132"/>
    <mergeCell ref="F123:N123"/>
    <mergeCell ref="F124:N124"/>
    <mergeCell ref="F129:N129"/>
    <mergeCell ref="F130:N130"/>
    <mergeCell ref="F125:N125"/>
    <mergeCell ref="F126:N126"/>
    <mergeCell ref="F127:N127"/>
    <mergeCell ref="J69:N69"/>
    <mergeCell ref="F35:N36"/>
    <mergeCell ref="L29:N30"/>
    <mergeCell ref="L33:N34"/>
    <mergeCell ref="J51:M51"/>
    <mergeCell ref="L61:M62"/>
    <mergeCell ref="I64:J64"/>
    <mergeCell ref="F69:G69"/>
    <mergeCell ref="L88:M88"/>
    <mergeCell ref="H72:N72"/>
    <mergeCell ref="F106:N106"/>
    <mergeCell ref="F120:N120"/>
    <mergeCell ref="F117:N119"/>
    <mergeCell ref="F96:G98"/>
    <mergeCell ref="F100:N101"/>
    <mergeCell ref="F108:N108"/>
    <mergeCell ref="F111:N111"/>
    <mergeCell ref="J96:M97"/>
    <mergeCell ref="L93:M93"/>
    <mergeCell ref="L92:M92"/>
    <mergeCell ref="L91:M91"/>
    <mergeCell ref="L89:M89"/>
    <mergeCell ref="L87:M87"/>
    <mergeCell ref="J84:L85"/>
  </mergeCells>
  <conditionalFormatting sqref="L29">
    <cfRule type="expression" dxfId="174" priority="360">
      <formula>IF($J$28=0,TRUE,FALSE)</formula>
    </cfRule>
    <cfRule type="expression" dxfId="173" priority="361">
      <formula>IF($J$28/J28&lt;0.7,TRUE,FALSE)</formula>
    </cfRule>
  </conditionalFormatting>
  <conditionalFormatting sqref="L39">
    <cfRule type="expression" dxfId="172" priority="356">
      <formula>IF($J$39=0,TRUE,FALSE)</formula>
    </cfRule>
    <cfRule type="expression" dxfId="171" priority="357">
      <formula>IF($J$28=0,TRUE,FALSE)</formula>
    </cfRule>
  </conditionalFormatting>
  <conditionalFormatting sqref="H71">
    <cfRule type="expression" dxfId="170" priority="100">
      <formula>IF($C$18=1,FALSE,TRUE)</formula>
    </cfRule>
    <cfRule type="expression" dxfId="169" priority="354">
      <formula>IF($C$71=1,TRUE,FALSE)</formula>
    </cfRule>
  </conditionalFormatting>
  <conditionalFormatting sqref="L41">
    <cfRule type="expression" dxfId="168" priority="365">
      <formula>IF($C$18=3,FALSE,TRUE)</formula>
    </cfRule>
    <cfRule type="expression" dxfId="167" priority="367">
      <formula>IF($J$41&lt;$J$39*0.1,TRUE,FALSE)</formula>
    </cfRule>
  </conditionalFormatting>
  <conditionalFormatting sqref="F44">
    <cfRule type="expression" dxfId="166" priority="350">
      <formula>IF($C$43&lt;8,TRUE,FALSE)</formula>
    </cfRule>
  </conditionalFormatting>
  <conditionalFormatting sqref="J54">
    <cfRule type="expression" dxfId="165" priority="349">
      <formula>IF($C$55&lt;3,TRUE,FALSE)</formula>
    </cfRule>
  </conditionalFormatting>
  <conditionalFormatting sqref="L87">
    <cfRule type="expression" dxfId="164" priority="126">
      <formula>ISERROR(L87)</formula>
    </cfRule>
    <cfRule type="expression" dxfId="163" priority="343">
      <formula>IF(L87=nicht,TRUE,FALSE)</formula>
    </cfRule>
    <cfRule type="expression" dxfId="162" priority="344">
      <formula>IF(L87=kritisch,TRUE,FALSE)</formula>
    </cfRule>
    <cfRule type="expression" dxfId="161" priority="345">
      <formula>IF(L87=tragbar,TRUE,FALSE)</formula>
    </cfRule>
  </conditionalFormatting>
  <conditionalFormatting sqref="L93">
    <cfRule type="expression" dxfId="160" priority="109">
      <formula>ISERROR(L93)</formula>
    </cfRule>
    <cfRule type="expression" dxfId="159" priority="329">
      <formula>IF(L93=nicht,TRUE,FALSE)</formula>
    </cfRule>
    <cfRule type="expression" dxfId="158" priority="330">
      <formula>IF(L93=tragbar,TRUE,FALSE)</formula>
    </cfRule>
  </conditionalFormatting>
  <conditionalFormatting sqref="H74:N74">
    <cfRule type="expression" dxfId="157" priority="310">
      <formula>IF($C$18=2,TRUE,FALSE)</formula>
    </cfRule>
  </conditionalFormatting>
  <conditionalFormatting sqref="H72">
    <cfRule type="expression" dxfId="156" priority="295">
      <formula>IF($C$18=3,TRUE,FALSE)</formula>
    </cfRule>
  </conditionalFormatting>
  <conditionalFormatting sqref="H73">
    <cfRule type="expression" dxfId="155" priority="294">
      <formula>IF($C$18=2,TRUE,FALSE)</formula>
    </cfRule>
  </conditionalFormatting>
  <conditionalFormatting sqref="H87">
    <cfRule type="expression" dxfId="154" priority="158">
      <formula>ISERROR(H87)</formula>
    </cfRule>
    <cfRule type="expression" dxfId="153" priority="259">
      <formula>IF(H87&lt;0.5,TRUE,FALSE)</formula>
    </cfRule>
    <cfRule type="expression" dxfId="152" priority="260">
      <formula>IF(H87&lt;10,TRUE,FALSE)</formula>
    </cfRule>
  </conditionalFormatting>
  <conditionalFormatting sqref="H88">
    <cfRule type="expression" dxfId="151" priority="155">
      <formula>ISERROR(H88)</formula>
    </cfRule>
    <cfRule type="expression" dxfId="150" priority="156">
      <formula>IF(H88&lt;0.5,TRUE,FALSE)</formula>
    </cfRule>
    <cfRule type="expression" dxfId="149" priority="157">
      <formula>IF(H88&lt;10,TRUE,FALSE)</formula>
    </cfRule>
  </conditionalFormatting>
  <conditionalFormatting sqref="H89">
    <cfRule type="expression" dxfId="148" priority="152">
      <formula>ISERROR(H89)</formula>
    </cfRule>
    <cfRule type="expression" dxfId="147" priority="153">
      <formula>IF(H89&lt;0.5,TRUE,FALSE)</formula>
    </cfRule>
    <cfRule type="expression" dxfId="146" priority="154">
      <formula>IF(H89&lt;10,TRUE,FALSE)</formula>
    </cfRule>
  </conditionalFormatting>
  <conditionalFormatting sqref="H90">
    <cfRule type="expression" dxfId="145" priority="149">
      <formula>ISERROR(H90)</formula>
    </cfRule>
    <cfRule type="expression" dxfId="144" priority="150">
      <formula>IF(H90&lt;0.5,TRUE,FALSE)</formula>
    </cfRule>
    <cfRule type="expression" dxfId="143" priority="151">
      <formula>IF(H90&lt;10,TRUE,FALSE)</formula>
    </cfRule>
  </conditionalFormatting>
  <conditionalFormatting sqref="H91">
    <cfRule type="expression" dxfId="142" priority="146">
      <formula>ISERROR(H91)</formula>
    </cfRule>
    <cfRule type="expression" dxfId="141" priority="147">
      <formula>IF(H91&lt;0.5,TRUE,FALSE)</formula>
    </cfRule>
    <cfRule type="expression" dxfId="140" priority="148">
      <formula>IF(H91&lt;10,TRUE,FALSE)</formula>
    </cfRule>
  </conditionalFormatting>
  <conditionalFormatting sqref="H92">
    <cfRule type="expression" dxfId="139" priority="143">
      <formula>ISERROR(H92)</formula>
    </cfRule>
    <cfRule type="expression" dxfId="138" priority="144">
      <formula>IF(H92&lt;0.5,TRUE,FALSE)</formula>
    </cfRule>
    <cfRule type="expression" dxfId="137" priority="145">
      <formula>IF(H92&lt;10,TRUE,FALSE)</formula>
    </cfRule>
  </conditionalFormatting>
  <conditionalFormatting sqref="H93">
    <cfRule type="expression" dxfId="136" priority="140">
      <formula>ISERROR(H93)</formula>
    </cfRule>
    <cfRule type="expression" dxfId="135" priority="141">
      <formula>IF(H93&lt;0.5,TRUE,FALSE)</formula>
    </cfRule>
    <cfRule type="expression" dxfId="134" priority="142">
      <formula>IF(H93&lt;10,TRUE,FALSE)</formula>
    </cfRule>
  </conditionalFormatting>
  <conditionalFormatting sqref="H94">
    <cfRule type="expression" dxfId="133" priority="137">
      <formula>ISERROR(H94)</formula>
    </cfRule>
    <cfRule type="expression" dxfId="132" priority="138">
      <formula>IF(H94&lt;0.5,TRUE,FALSE)</formula>
    </cfRule>
    <cfRule type="expression" dxfId="131" priority="139">
      <formula>IF(H94&lt;10,TRUE,FALSE)</formula>
    </cfRule>
  </conditionalFormatting>
  <conditionalFormatting sqref="L88">
    <cfRule type="expression" dxfId="130" priority="122">
      <formula>ISERROR(L88)</formula>
    </cfRule>
    <cfRule type="expression" dxfId="129" priority="123">
      <formula>IF(L88=nicht,TRUE,FALSE)</formula>
    </cfRule>
    <cfRule type="expression" dxfId="128" priority="124">
      <formula>IF(L88=kritisch,TRUE,FALSE)</formula>
    </cfRule>
    <cfRule type="expression" dxfId="127" priority="125">
      <formula>IF(L88=tragbar,TRUE,FALSE)</formula>
    </cfRule>
  </conditionalFormatting>
  <conditionalFormatting sqref="L89">
    <cfRule type="expression" dxfId="126" priority="118">
      <formula>ISERROR(L89)</formula>
    </cfRule>
    <cfRule type="expression" dxfId="125" priority="119">
      <formula>IF(L89=nicht,TRUE,FALSE)</formula>
    </cfRule>
    <cfRule type="expression" dxfId="124" priority="120">
      <formula>IF(L89=kritisch,TRUE,FALSE)</formula>
    </cfRule>
    <cfRule type="expression" dxfId="123" priority="121">
      <formula>IF(L89=tragbar,TRUE,FALSE)</formula>
    </cfRule>
  </conditionalFormatting>
  <conditionalFormatting sqref="L91">
    <cfRule type="expression" dxfId="122" priority="114">
      <formula>ISERROR(L91)</formula>
    </cfRule>
    <cfRule type="expression" dxfId="121" priority="115">
      <formula>IF(L91=nicht,TRUE,FALSE)</formula>
    </cfRule>
    <cfRule type="expression" dxfId="120" priority="116">
      <formula>IF(L91=kritisch,TRUE,FALSE)</formula>
    </cfRule>
    <cfRule type="expression" dxfId="119" priority="117">
      <formula>IF(L91=tragbar,TRUE,FALSE)</formula>
    </cfRule>
  </conditionalFormatting>
  <conditionalFormatting sqref="L92">
    <cfRule type="expression" dxfId="118" priority="110">
      <formula>ISERROR(L92)</formula>
    </cfRule>
    <cfRule type="expression" dxfId="117" priority="111">
      <formula>IF(L92=nicht,TRUE,FALSE)</formula>
    </cfRule>
    <cfRule type="expression" dxfId="116" priority="112">
      <formula>IF(L92=kritisch,TRUE,FALSE)</formula>
    </cfRule>
    <cfRule type="expression" dxfId="115" priority="113">
      <formula>IF(L92=tragbar,TRUE,FALSE)</formula>
    </cfRule>
  </conditionalFormatting>
  <conditionalFormatting sqref="J42">
    <cfRule type="expression" dxfId="114" priority="104">
      <formula>IF($J$42=0,TRUE,FALSE)</formula>
    </cfRule>
    <cfRule type="expression" dxfId="113" priority="105">
      <formula>IF($J$42&lt;0.1,TRUE,FALSE)</formula>
    </cfRule>
    <cfRule type="expression" dxfId="112" priority="106">
      <formula>IF($J$42&lt;0.5,TRUE,FALSE)</formula>
    </cfRule>
    <cfRule type="expression" dxfId="111" priority="107">
      <formula>IF($J$42&lt;5,TRUE,FALSE)</formula>
    </cfRule>
    <cfRule type="expression" dxfId="110" priority="108">
      <formula>IF($J$42&lt;10,TRUE,FALSE)</formula>
    </cfRule>
  </conditionalFormatting>
  <conditionalFormatting sqref="L32">
    <cfRule type="expression" dxfId="109" priority="431">
      <formula>IF($C$18=2,TRUE,FALSE)</formula>
    </cfRule>
    <cfRule type="expression" dxfId="108" priority="432">
      <formula>IF(J28=0,TRUE,FALSE)</formula>
    </cfRule>
  </conditionalFormatting>
  <conditionalFormatting sqref="L37">
    <cfRule type="expression" dxfId="107" priority="433">
      <formula>IF($C$18=2,TRUE,FALSE)</formula>
    </cfRule>
    <cfRule type="expression" dxfId="106" priority="434">
      <formula>IF(J32=0,TRUE,FALSE)</formula>
    </cfRule>
  </conditionalFormatting>
  <conditionalFormatting sqref="H69:H70 J69:N70">
    <cfRule type="expression" dxfId="105" priority="103">
      <formula>IF($C$18=1,FALSE,TRUE)</formula>
    </cfRule>
  </conditionalFormatting>
  <conditionalFormatting sqref="H80:I80">
    <cfRule type="expression" dxfId="104" priority="101">
      <formula>IF($C$18=2,TRUE,FALSE)</formula>
    </cfRule>
  </conditionalFormatting>
  <conditionalFormatting sqref="G88">
    <cfRule type="expression" dxfId="103" priority="446">
      <formula>ISERROR(G88)</formula>
    </cfRule>
    <cfRule type="expression" dxfId="102" priority="447">
      <formula>IF(G88&lt;0.5,TRUE,FALSE)</formula>
    </cfRule>
    <cfRule type="expression" dxfId="101" priority="448">
      <formula>IF(G88&lt;10,TRUE,FALSE)</formula>
    </cfRule>
    <cfRule type="expression" dxfId="100" priority="449">
      <formula>IF(G88&gt;(1+$C$86)*C88,TRUE,FALSE)</formula>
    </cfRule>
    <cfRule type="expression" dxfId="99" priority="450">
      <formula>IF(G88&lt;(1-$C$86)*C88,TRUE,FALSE)</formula>
    </cfRule>
  </conditionalFormatting>
  <conditionalFormatting sqref="G87">
    <cfRule type="expression" dxfId="98" priority="95">
      <formula>ISERROR(G87)</formula>
    </cfRule>
    <cfRule type="expression" dxfId="97" priority="96">
      <formula>IF(G87&lt;0.5,TRUE,FALSE)</formula>
    </cfRule>
    <cfRule type="expression" dxfId="96" priority="97">
      <formula>IF(G87&lt;10,TRUE,FALSE)</formula>
    </cfRule>
    <cfRule type="expression" dxfId="95" priority="98">
      <formula>IF(G87&gt;(1+$C$86)*C87,TRUE,FALSE)</formula>
    </cfRule>
    <cfRule type="expression" dxfId="94" priority="99">
      <formula>IF(G87&lt;(1-$C$86)*C87,TRUE,FALSE)</formula>
    </cfRule>
  </conditionalFormatting>
  <conditionalFormatting sqref="G89">
    <cfRule type="expression" dxfId="93" priority="90">
      <formula>ISERROR(G89)</formula>
    </cfRule>
    <cfRule type="expression" dxfId="92" priority="91">
      <formula>IF(G89&lt;0.5,TRUE,FALSE)</formula>
    </cfRule>
    <cfRule type="expression" dxfId="91" priority="92">
      <formula>IF(G89&lt;10,TRUE,FALSE)</formula>
    </cfRule>
    <cfRule type="expression" dxfId="90" priority="93">
      <formula>IF(G89&gt;(1+$C$86)*C89,TRUE,FALSE)</formula>
    </cfRule>
    <cfRule type="expression" dxfId="89" priority="94">
      <formula>IF(G89&lt;(1-$C$86)*C89,TRUE,FALSE)</formula>
    </cfRule>
  </conditionalFormatting>
  <conditionalFormatting sqref="G90">
    <cfRule type="expression" dxfId="88" priority="85">
      <formula>ISERROR(G90)</formula>
    </cfRule>
    <cfRule type="expression" dxfId="87" priority="86">
      <formula>IF(G90&lt;0.5,TRUE,FALSE)</formula>
    </cfRule>
    <cfRule type="expression" dxfId="86" priority="87">
      <formula>IF(G90&lt;10,TRUE,FALSE)</formula>
    </cfRule>
    <cfRule type="expression" dxfId="85" priority="88">
      <formula>IF(G90&gt;(1+$C$86)*C90,TRUE,FALSE)</formula>
    </cfRule>
    <cfRule type="expression" dxfId="84" priority="89">
      <formula>IF(G90&lt;(1-$C$86)*C90,TRUE,FALSE)</formula>
    </cfRule>
  </conditionalFormatting>
  <conditionalFormatting sqref="G91">
    <cfRule type="expression" dxfId="83" priority="80">
      <formula>ISERROR(G91)</formula>
    </cfRule>
    <cfRule type="expression" dxfId="82" priority="81">
      <formula>IF(G91&lt;0.5,TRUE,FALSE)</formula>
    </cfRule>
    <cfRule type="expression" dxfId="81" priority="82">
      <formula>IF(G91&lt;10,TRUE,FALSE)</formula>
    </cfRule>
    <cfRule type="expression" dxfId="80" priority="83">
      <formula>IF(G91&gt;(1+$C$86)*C91,TRUE,FALSE)</formula>
    </cfRule>
    <cfRule type="expression" dxfId="79" priority="84">
      <formula>IF(G91&lt;(1-$C$86)*C91,TRUE,FALSE)</formula>
    </cfRule>
  </conditionalFormatting>
  <conditionalFormatting sqref="G92">
    <cfRule type="expression" dxfId="78" priority="75">
      <formula>ISERROR(G92)</formula>
    </cfRule>
    <cfRule type="expression" dxfId="77" priority="76">
      <formula>IF(G92&lt;0.5,TRUE,FALSE)</formula>
    </cfRule>
    <cfRule type="expression" dxfId="76" priority="77">
      <formula>IF(G92&lt;10,TRUE,FALSE)</formula>
    </cfRule>
    <cfRule type="expression" dxfId="75" priority="78">
      <formula>IF(G92&gt;(1+$C$86)*C92,TRUE,FALSE)</formula>
    </cfRule>
    <cfRule type="expression" dxfId="74" priority="79">
      <formula>IF(G92&lt;(1-$C$86)*C92,TRUE,FALSE)</formula>
    </cfRule>
  </conditionalFormatting>
  <conditionalFormatting sqref="G93">
    <cfRule type="expression" dxfId="73" priority="70">
      <formula>ISERROR(G93)</formula>
    </cfRule>
    <cfRule type="expression" dxfId="72" priority="71">
      <formula>IF(G93&lt;0.5,TRUE,FALSE)</formula>
    </cfRule>
    <cfRule type="expression" dxfId="71" priority="72">
      <formula>IF(G93&lt;10,TRUE,FALSE)</formula>
    </cfRule>
    <cfRule type="expression" dxfId="70" priority="73">
      <formula>IF(G93&gt;(1+$C$86)*C93,TRUE,FALSE)</formula>
    </cfRule>
    <cfRule type="expression" dxfId="69" priority="74">
      <formula>IF(G93&lt;(1-$C$86)*C93,TRUE,FALSE)</formula>
    </cfRule>
  </conditionalFormatting>
  <conditionalFormatting sqref="G94">
    <cfRule type="expression" dxfId="68" priority="65">
      <formula>ISERROR(G94)</formula>
    </cfRule>
    <cfRule type="expression" dxfId="67" priority="66">
      <formula>IF(G94&lt;0.5,TRUE,FALSE)</formula>
    </cfRule>
    <cfRule type="expression" dxfId="66" priority="67">
      <formula>IF(G94&lt;10,TRUE,FALSE)</formula>
    </cfRule>
    <cfRule type="expression" dxfId="65" priority="68">
      <formula>IF(G94&gt;(1+$C$86)*C94,TRUE,FALSE)</formula>
    </cfRule>
    <cfRule type="expression" dxfId="64" priority="69">
      <formula>IF(G94&lt;(1-$C$86)*C94,TRUE,FALSE)</formula>
    </cfRule>
  </conditionalFormatting>
  <conditionalFormatting sqref="H96">
    <cfRule type="expression" dxfId="63" priority="60">
      <formula>ISERROR(H96)</formula>
    </cfRule>
    <cfRule type="expression" dxfId="62" priority="61">
      <formula>IF(H96&lt;0.5,TRUE,FALSE)</formula>
    </cfRule>
    <cfRule type="expression" dxfId="61" priority="62">
      <formula>IF(H96&lt;10,TRUE,FALSE)</formula>
    </cfRule>
    <cfRule type="expression" dxfId="60" priority="63">
      <formula>IF(H96&gt;(1+$C$86)*C96,TRUE,FALSE)</formula>
    </cfRule>
    <cfRule type="expression" dxfId="59" priority="64">
      <formula>IF(H96&lt;(1-$C$86)*C96,TRUE,FALSE)</formula>
    </cfRule>
  </conditionalFormatting>
  <conditionalFormatting sqref="H97">
    <cfRule type="expression" dxfId="58" priority="55">
      <formula>ISERROR(H97)</formula>
    </cfRule>
    <cfRule type="expression" dxfId="57" priority="56">
      <formula>IF(H97&lt;0.5,TRUE,FALSE)</formula>
    </cfRule>
    <cfRule type="expression" dxfId="56" priority="57">
      <formula>IF(H97&lt;10,TRUE,FALSE)</formula>
    </cfRule>
    <cfRule type="expression" dxfId="55" priority="58">
      <formula>IF(H97&gt;(1+$C$86)*C97,TRUE,FALSE)</formula>
    </cfRule>
    <cfRule type="expression" dxfId="54" priority="59">
      <formula>IF(H97&lt;(1-$C$86)*C97,TRUE,FALSE)</formula>
    </cfRule>
  </conditionalFormatting>
  <conditionalFormatting sqref="F100">
    <cfRule type="expression" dxfId="53" priority="451">
      <formula>IF($C$104&lt;18,TRUE,FALSE)</formula>
    </cfRule>
  </conditionalFormatting>
  <conditionalFormatting sqref="F109:N110">
    <cfRule type="expression" dxfId="52" priority="53">
      <formula>ISERROR($F$109)</formula>
    </cfRule>
  </conditionalFormatting>
  <conditionalFormatting sqref="F129:N129">
    <cfRule type="cellIs" dxfId="51" priority="9" operator="equal">
      <formula>0</formula>
    </cfRule>
    <cfRule type="expression" dxfId="50" priority="48">
      <formula>ISERROR(F129)</formula>
    </cfRule>
  </conditionalFormatting>
  <conditionalFormatting sqref="G13">
    <cfRule type="expression" dxfId="49" priority="452">
      <formula>IF($C$12&lt;7,TRUE,FALSE)</formula>
    </cfRule>
  </conditionalFormatting>
  <conditionalFormatting sqref="G12 J12">
    <cfRule type="expression" dxfId="48" priority="47">
      <formula>IF($C$11&gt;1,TRUE,FALSE)</formula>
    </cfRule>
  </conditionalFormatting>
  <conditionalFormatting sqref="J96">
    <cfRule type="expression" dxfId="47" priority="46">
      <formula>IF($C$102=1,TRUE,FALSE)</formula>
    </cfRule>
  </conditionalFormatting>
  <conditionalFormatting sqref="I87">
    <cfRule type="expression" dxfId="46" priority="43">
      <formula>ISERROR(I87)</formula>
    </cfRule>
    <cfRule type="expression" dxfId="45" priority="44">
      <formula>IF(I87&lt;0.5,TRUE,FALSE)</formula>
    </cfRule>
    <cfRule type="expression" dxfId="44" priority="45">
      <formula>IF(I87&lt;10,TRUE,FALSE)</formula>
    </cfRule>
  </conditionalFormatting>
  <conditionalFormatting sqref="I88">
    <cfRule type="expression" dxfId="43" priority="40">
      <formula>ISERROR(I88)</formula>
    </cfRule>
    <cfRule type="expression" dxfId="42" priority="41">
      <formula>IF(I88&lt;0.5,TRUE,FALSE)</formula>
    </cfRule>
    <cfRule type="expression" dxfId="41" priority="42">
      <formula>IF(I88&lt;10,TRUE,FALSE)</formula>
    </cfRule>
  </conditionalFormatting>
  <conditionalFormatting sqref="I89">
    <cfRule type="expression" dxfId="40" priority="37">
      <formula>ISERROR(I89)</formula>
    </cfRule>
    <cfRule type="expression" dxfId="39" priority="38">
      <formula>IF(I89&lt;0.5,TRUE,FALSE)</formula>
    </cfRule>
    <cfRule type="expression" dxfId="38" priority="39">
      <formula>IF(I89&lt;10,TRUE,FALSE)</formula>
    </cfRule>
  </conditionalFormatting>
  <conditionalFormatting sqref="I90">
    <cfRule type="expression" dxfId="37" priority="34">
      <formula>ISERROR(I90)</formula>
    </cfRule>
    <cfRule type="expression" dxfId="36" priority="35">
      <formula>IF(I90&lt;0.5,TRUE,FALSE)</formula>
    </cfRule>
    <cfRule type="expression" dxfId="35" priority="36">
      <formula>IF(I90&lt;10,TRUE,FALSE)</formula>
    </cfRule>
  </conditionalFormatting>
  <conditionalFormatting sqref="I91">
    <cfRule type="expression" dxfId="34" priority="31">
      <formula>ISERROR(I91)</formula>
    </cfRule>
    <cfRule type="expression" dxfId="33" priority="32">
      <formula>IF(I91&lt;0.5,TRUE,FALSE)</formula>
    </cfRule>
    <cfRule type="expression" dxfId="32" priority="33">
      <formula>IF(I91&lt;10,TRUE,FALSE)</formula>
    </cfRule>
  </conditionalFormatting>
  <conditionalFormatting sqref="I92">
    <cfRule type="expression" dxfId="31" priority="28">
      <formula>ISERROR(I92)</formula>
    </cfRule>
    <cfRule type="expression" dxfId="30" priority="29">
      <formula>IF(I92&lt;0.5,TRUE,FALSE)</formula>
    </cfRule>
    <cfRule type="expression" dxfId="29" priority="30">
      <formula>IF(I92&lt;10,TRUE,FALSE)</formula>
    </cfRule>
  </conditionalFormatting>
  <conditionalFormatting sqref="I93">
    <cfRule type="expression" dxfId="28" priority="25">
      <formula>ISERROR(I93)</formula>
    </cfRule>
    <cfRule type="expression" dxfId="27" priority="26">
      <formula>IF(I93&lt;0.5,TRUE,FALSE)</formula>
    </cfRule>
    <cfRule type="expression" dxfId="26" priority="27">
      <formula>IF(I93&lt;10,TRUE,FALSE)</formula>
    </cfRule>
  </conditionalFormatting>
  <conditionalFormatting sqref="I94">
    <cfRule type="expression" dxfId="25" priority="22">
      <formula>ISERROR(I94)</formula>
    </cfRule>
    <cfRule type="expression" dxfId="24" priority="23">
      <formula>IF(I94&lt;0.5,TRUE,FALSE)</formula>
    </cfRule>
    <cfRule type="expression" dxfId="23" priority="24">
      <formula>IF(I94&lt;10,TRUE,FALSE)</formula>
    </cfRule>
  </conditionalFormatting>
  <conditionalFormatting sqref="L27">
    <cfRule type="expression" dxfId="22" priority="455">
      <formula>IF($J$28=0,TRUE,FALSE)</formula>
    </cfRule>
    <cfRule type="expression" dxfId="21" priority="456">
      <formula>IF($J$28/J27&lt;0.7,TRUE,FALSE)</formula>
    </cfRule>
  </conditionalFormatting>
  <conditionalFormatting sqref="I18:N18">
    <cfRule type="expression" dxfId="20" priority="21">
      <formula>ISERROR($I$18)</formula>
    </cfRule>
  </conditionalFormatting>
  <conditionalFormatting sqref="I19:N19">
    <cfRule type="expression" dxfId="19" priority="20">
      <formula>ISERROR($I$19)</formula>
    </cfRule>
  </conditionalFormatting>
  <conditionalFormatting sqref="I20:N20">
    <cfRule type="expression" dxfId="18" priority="19">
      <formula>ISERROR($I$20)</formula>
    </cfRule>
  </conditionalFormatting>
  <conditionalFormatting sqref="J69:N69">
    <cfRule type="expression" dxfId="17" priority="18">
      <formula>ISERROR($J$69)</formula>
    </cfRule>
  </conditionalFormatting>
  <conditionalFormatting sqref="J70:N70">
    <cfRule type="expression" dxfId="16" priority="17">
      <formula>ISERROR($J$70)</formula>
    </cfRule>
  </conditionalFormatting>
  <conditionalFormatting sqref="J79:N79">
    <cfRule type="expression" dxfId="15" priority="16">
      <formula>ISERROR($J$80)</formula>
    </cfRule>
  </conditionalFormatting>
  <conditionalFormatting sqref="J80:N80">
    <cfRule type="expression" dxfId="14" priority="15">
      <formula>ISERROR($J$80)</formula>
    </cfRule>
  </conditionalFormatting>
  <conditionalFormatting sqref="F130:N130">
    <cfRule type="cellIs" dxfId="13" priority="8" operator="equal">
      <formula>0</formula>
    </cfRule>
    <cfRule type="expression" dxfId="12" priority="14">
      <formula>ISERROR($F$130)</formula>
    </cfRule>
  </conditionalFormatting>
  <conditionalFormatting sqref="F131:N131">
    <cfRule type="cellIs" dxfId="11" priority="7" operator="equal">
      <formula>0</formula>
    </cfRule>
    <cfRule type="expression" dxfId="10" priority="13">
      <formula>ISERROR($F$131)</formula>
    </cfRule>
  </conditionalFormatting>
  <conditionalFormatting sqref="F132:N132">
    <cfRule type="cellIs" dxfId="9" priority="6" operator="equal">
      <formula>0</formula>
    </cfRule>
    <cfRule type="expression" dxfId="8" priority="12">
      <formula>ISERROR($F$132)</formula>
    </cfRule>
  </conditionalFormatting>
  <conditionalFormatting sqref="I128">
    <cfRule type="cellIs" dxfId="7" priority="11" operator="equal">
      <formula>0</formula>
    </cfRule>
  </conditionalFormatting>
  <conditionalFormatting sqref="L12">
    <cfRule type="cellIs" dxfId="6" priority="10" operator="equal">
      <formula>0</formula>
    </cfRule>
  </conditionalFormatting>
  <conditionalFormatting sqref="F106:N106">
    <cfRule type="cellIs" dxfId="5" priority="5" operator="equal">
      <formula>0</formula>
    </cfRule>
  </conditionalFormatting>
  <conditionalFormatting sqref="F105:N105">
    <cfRule type="cellIs" dxfId="4" priority="4" operator="equal">
      <formula>0</formula>
    </cfRule>
  </conditionalFormatting>
  <conditionalFormatting sqref="F104:N104">
    <cfRule type="cellIs" dxfId="3" priority="3" operator="equal">
      <formula>0</formula>
    </cfRule>
  </conditionalFormatting>
  <conditionalFormatting sqref="F103:N103">
    <cfRule type="cellIs" dxfId="2" priority="2" operator="equal">
      <formula>0</formula>
    </cfRule>
  </conditionalFormatting>
  <conditionalFormatting sqref="F102:N102">
    <cfRule type="cellIs" dxfId="1" priority="1" operator="equal">
      <formula>0</formula>
    </cfRule>
  </conditionalFormatting>
  <dataValidations count="3">
    <dataValidation type="decimal" allowBlank="1" showErrorMessage="1" errorTitle="Fehler" error="Der eingetragene Energiegehalt kann nicht stimmen. Er muss zwischen 16 und 24 MJ/kg betragen." sqref="K38">
      <formula1>16</formula1>
      <formula2>24</formula2>
    </dataValidation>
    <dataValidation type="custom" allowBlank="1" showInputMessage="1" showErrorMessage="1" errorTitle="Ablaufwassermenge" error="Bei Kreislaufanlagen muss die Ablaufwassermenge mindestens 10% des Anlagevolumens betragen" sqref="J41">
      <formula1>IF(C18=3,IF(J39*0.1&lt;=J41,TRUE,FALSE),TRUE)</formula1>
    </dataValidation>
    <dataValidation type="decimal" allowBlank="1" showErrorMessage="1" errorTitle="Fehler" error="Der eingetragene Energiegehalt kann nicht stimmen. Er muss zwischen 10 und 25 MJ/kg betragen." sqref="J31">
      <formula1>10</formula1>
      <formula2>25</formula2>
    </dataValidation>
  </dataValidations>
  <printOptions horizontalCentered="1" verticalCentered="1"/>
  <pageMargins left="0.70866141732283472" right="0.70866141732283472" top="0.78740157480314965" bottom="0.78740157480314965" header="0.31496062992125984" footer="0.31496062992125984"/>
  <pageSetup paperSize="9" scale="54" fitToHeight="2" orientation="portrait" horizontalDpi="4294967293" verticalDpi="0" r:id="rId2"/>
  <headerFooter>
    <oddFooter>&amp;Luwe Luzern März 2016&amp;C&amp;D&amp;R&amp;Z&amp;F</oddFooter>
  </headerFooter>
  <rowBreaks count="1" manualBreakCount="1">
    <brk id="73" min="3" max="15" man="1"/>
  </rowBreaks>
  <drawing r:id="rId3"/>
  <legacyDrawing r:id="rId4"/>
  <mc:AlternateContent xmlns:mc="http://schemas.openxmlformats.org/markup-compatibility/2006">
    <mc:Choice Requires="x14">
      <controls>
        <mc:AlternateContent xmlns:mc="http://schemas.openxmlformats.org/markup-compatibility/2006">
          <mc:Choice Requires="x14">
            <control shapeId="1027" r:id="rId5" name="Drop Down 3">
              <controlPr defaultSize="0" autoLine="0" autoPict="0">
                <anchor moveWithCells="1">
                  <from>
                    <xdr:col>13</xdr:col>
                    <xdr:colOff>619125</xdr:colOff>
                    <xdr:row>1</xdr:row>
                    <xdr:rowOff>9525</xdr:rowOff>
                  </from>
                  <to>
                    <xdr:col>13</xdr:col>
                    <xdr:colOff>1181100</xdr:colOff>
                    <xdr:row>1</xdr:row>
                    <xdr:rowOff>247650</xdr:rowOff>
                  </to>
                </anchor>
              </controlPr>
            </control>
          </mc:Choice>
        </mc:AlternateContent>
        <mc:AlternateContent xmlns:mc="http://schemas.openxmlformats.org/markup-compatibility/2006">
          <mc:Choice Requires="x14">
            <control shapeId="1029" r:id="rId6" name="Drop Down 5">
              <controlPr defaultSize="0" autoLine="0" autoPict="0">
                <anchor moveWithCells="1">
                  <from>
                    <xdr:col>6</xdr:col>
                    <xdr:colOff>0</xdr:colOff>
                    <xdr:row>9</xdr:row>
                    <xdr:rowOff>180975</xdr:rowOff>
                  </from>
                  <to>
                    <xdr:col>8</xdr:col>
                    <xdr:colOff>790575</xdr:colOff>
                    <xdr:row>11</xdr:row>
                    <xdr:rowOff>0</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6</xdr:col>
                    <xdr:colOff>0</xdr:colOff>
                    <xdr:row>17</xdr:row>
                    <xdr:rowOff>9525</xdr:rowOff>
                  </from>
                  <to>
                    <xdr:col>7</xdr:col>
                    <xdr:colOff>1238250</xdr:colOff>
                    <xdr:row>17</xdr:row>
                    <xdr:rowOff>457200</xdr:rowOff>
                  </to>
                </anchor>
              </controlPr>
            </control>
          </mc:Choice>
        </mc:AlternateContent>
        <mc:AlternateContent xmlns:mc="http://schemas.openxmlformats.org/markup-compatibility/2006">
          <mc:Choice Requires="x14">
            <control shapeId="1032" r:id="rId8" name="Drop Down 8">
              <controlPr defaultSize="0" autoLine="0" autoPict="0">
                <anchor moveWithCells="1">
                  <from>
                    <xdr:col>6</xdr:col>
                    <xdr:colOff>0</xdr:colOff>
                    <xdr:row>18</xdr:row>
                    <xdr:rowOff>9525</xdr:rowOff>
                  </from>
                  <to>
                    <xdr:col>7</xdr:col>
                    <xdr:colOff>1238250</xdr:colOff>
                    <xdr:row>18</xdr:row>
                    <xdr:rowOff>457200</xdr:rowOff>
                  </to>
                </anchor>
              </controlPr>
            </control>
          </mc:Choice>
        </mc:AlternateContent>
        <mc:AlternateContent xmlns:mc="http://schemas.openxmlformats.org/markup-compatibility/2006">
          <mc:Choice Requires="x14">
            <control shapeId="1034" r:id="rId9" name="Drop Down 10">
              <controlPr defaultSize="0" autoLine="0" autoPict="0">
                <anchor moveWithCells="1">
                  <from>
                    <xdr:col>9</xdr:col>
                    <xdr:colOff>0</xdr:colOff>
                    <xdr:row>51</xdr:row>
                    <xdr:rowOff>161925</xdr:rowOff>
                  </from>
                  <to>
                    <xdr:col>10</xdr:col>
                    <xdr:colOff>0</xdr:colOff>
                    <xdr:row>53</xdr:row>
                    <xdr:rowOff>9525</xdr:rowOff>
                  </to>
                </anchor>
              </controlPr>
            </control>
          </mc:Choice>
        </mc:AlternateContent>
        <mc:AlternateContent xmlns:mc="http://schemas.openxmlformats.org/markup-compatibility/2006">
          <mc:Choice Requires="x14">
            <control shapeId="1035" r:id="rId10" name="Drop Down 11">
              <controlPr defaultSize="0" autoLine="0" autoPict="0">
                <anchor moveWithCells="1">
                  <from>
                    <xdr:col>11</xdr:col>
                    <xdr:colOff>0</xdr:colOff>
                    <xdr:row>57</xdr:row>
                    <xdr:rowOff>161925</xdr:rowOff>
                  </from>
                  <to>
                    <xdr:col>12</xdr:col>
                    <xdr:colOff>19050</xdr:colOff>
                    <xdr:row>59</xdr:row>
                    <xdr:rowOff>19050</xdr:rowOff>
                  </to>
                </anchor>
              </controlPr>
            </control>
          </mc:Choice>
        </mc:AlternateContent>
        <mc:AlternateContent xmlns:mc="http://schemas.openxmlformats.org/markup-compatibility/2006">
          <mc:Choice Requires="x14">
            <control shapeId="1037" r:id="rId11" name="Drop Down 13">
              <controlPr defaultSize="0" autoLine="0" autoPict="0">
                <anchor moveWithCells="1">
                  <from>
                    <xdr:col>7</xdr:col>
                    <xdr:colOff>19050</xdr:colOff>
                    <xdr:row>68</xdr:row>
                    <xdr:rowOff>19050</xdr:rowOff>
                  </from>
                  <to>
                    <xdr:col>8</xdr:col>
                    <xdr:colOff>1295400</xdr:colOff>
                    <xdr:row>68</xdr:row>
                    <xdr:rowOff>609600</xdr:rowOff>
                  </to>
                </anchor>
              </controlPr>
            </control>
          </mc:Choice>
        </mc:AlternateContent>
        <mc:AlternateContent xmlns:mc="http://schemas.openxmlformats.org/markup-compatibility/2006">
          <mc:Choice Requires="x14">
            <control shapeId="1038" r:id="rId12" name="Drop Down 14">
              <controlPr defaultSize="0" autoLine="0" autoPict="0">
                <anchor moveWithCells="1">
                  <from>
                    <xdr:col>7</xdr:col>
                    <xdr:colOff>19050</xdr:colOff>
                    <xdr:row>69</xdr:row>
                    <xdr:rowOff>19050</xdr:rowOff>
                  </from>
                  <to>
                    <xdr:col>8</xdr:col>
                    <xdr:colOff>1295400</xdr:colOff>
                    <xdr:row>69</xdr:row>
                    <xdr:rowOff>609600</xdr:rowOff>
                  </to>
                </anchor>
              </controlPr>
            </control>
          </mc:Choice>
        </mc:AlternateContent>
        <mc:AlternateContent xmlns:mc="http://schemas.openxmlformats.org/markup-compatibility/2006">
          <mc:Choice Requires="x14">
            <control shapeId="1041" r:id="rId13" name="Drop Down 17">
              <controlPr defaultSize="0" autoLine="0" autoPict="0">
                <anchor moveWithCells="1">
                  <from>
                    <xdr:col>7</xdr:col>
                    <xdr:colOff>9525</xdr:colOff>
                    <xdr:row>78</xdr:row>
                    <xdr:rowOff>9525</xdr:rowOff>
                  </from>
                  <to>
                    <xdr:col>8</xdr:col>
                    <xdr:colOff>1285875</xdr:colOff>
                    <xdr:row>78</xdr:row>
                    <xdr:rowOff>619125</xdr:rowOff>
                  </to>
                </anchor>
              </controlPr>
            </control>
          </mc:Choice>
        </mc:AlternateContent>
        <mc:AlternateContent xmlns:mc="http://schemas.openxmlformats.org/markup-compatibility/2006">
          <mc:Choice Requires="x14">
            <control shapeId="1043" r:id="rId14" name="Drop Down 19">
              <controlPr defaultSize="0" autoLine="0" autoPict="0">
                <anchor moveWithCells="1">
                  <from>
                    <xdr:col>7</xdr:col>
                    <xdr:colOff>9525</xdr:colOff>
                    <xdr:row>79</xdr:row>
                    <xdr:rowOff>9525</xdr:rowOff>
                  </from>
                  <to>
                    <xdr:col>8</xdr:col>
                    <xdr:colOff>1285875</xdr:colOff>
                    <xdr:row>79</xdr:row>
                    <xdr:rowOff>619125</xdr:rowOff>
                  </to>
                </anchor>
              </controlPr>
            </control>
          </mc:Choice>
        </mc:AlternateContent>
        <mc:AlternateContent xmlns:mc="http://schemas.openxmlformats.org/markup-compatibility/2006">
          <mc:Choice Requires="x14">
            <control shapeId="1044" r:id="rId15" name="Drop Down 20">
              <controlPr defaultSize="0" autoLine="0" autoPict="0">
                <anchor moveWithCells="1">
                  <from>
                    <xdr:col>11</xdr:col>
                    <xdr:colOff>19050</xdr:colOff>
                    <xdr:row>6</xdr:row>
                    <xdr:rowOff>0</xdr:rowOff>
                  </from>
                  <to>
                    <xdr:col>11</xdr:col>
                    <xdr:colOff>1152525</xdr:colOff>
                    <xdr:row>7</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8" id="{4DFE289E-3893-49A0-9DC3-BF5179CC904E}">
            <xm:f>IF($F$109=Gewaesserbelastung!$B$58,TRUE,FALSE)</xm:f>
            <x14:dxf>
              <fill>
                <patternFill>
                  <bgColor rgb="FF92D050"/>
                </patternFill>
              </fill>
            </x14:dxf>
          </x14:cfRule>
          <xm:sqref>F109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I321"/>
  <sheetViews>
    <sheetView zoomScaleNormal="100" workbookViewId="0"/>
  </sheetViews>
  <sheetFormatPr baseColWidth="10" defaultRowHeight="12.75" x14ac:dyDescent="0.2"/>
  <cols>
    <col min="1" max="1" width="11.42578125" style="41"/>
    <col min="2" max="2" width="34.140625" style="41" customWidth="1"/>
    <col min="3" max="3" width="27.140625" style="41" customWidth="1"/>
    <col min="4" max="4" width="35.5703125" style="41" customWidth="1"/>
    <col min="5" max="5" width="13.85546875" style="41" customWidth="1"/>
    <col min="6" max="15" width="11.42578125" style="41"/>
    <col min="16" max="16" width="16.5703125" style="41" customWidth="1"/>
    <col min="17" max="17" width="5.28515625" style="41" customWidth="1"/>
    <col min="18" max="18" width="25.7109375" style="41" customWidth="1"/>
    <col min="19" max="19" width="11.42578125" style="41"/>
    <col min="20" max="24" width="16.7109375" style="41" customWidth="1"/>
    <col min="25" max="25" width="11.42578125" style="41"/>
    <col min="26" max="27" width="16.7109375" style="41" customWidth="1"/>
    <col min="28" max="28" width="11.42578125" style="41"/>
    <col min="29" max="30" width="16.7109375" style="41" customWidth="1"/>
    <col min="31" max="32" width="11.42578125" style="41"/>
    <col min="33" max="35" width="20.7109375" style="41" customWidth="1"/>
    <col min="36" max="36" width="26.5703125" style="41" customWidth="1"/>
    <col min="37" max="42" width="15.7109375" style="41" customWidth="1"/>
    <col min="43" max="43" width="3.7109375" style="41" customWidth="1"/>
    <col min="44" max="54" width="15.7109375" style="41" customWidth="1"/>
    <col min="55" max="55" width="25.7109375" style="41" customWidth="1"/>
    <col min="56" max="61" width="15.7109375" style="41" customWidth="1"/>
    <col min="62" max="16384" width="11.42578125" style="41"/>
  </cols>
  <sheetData>
    <row r="1" spans="1:52" s="127" customFormat="1" x14ac:dyDescent="0.2">
      <c r="A1" s="453"/>
      <c r="B1" s="454" t="s">
        <v>316</v>
      </c>
      <c r="C1" s="453"/>
      <c r="D1" s="453"/>
      <c r="E1" s="453"/>
      <c r="F1" s="453"/>
      <c r="G1" s="453"/>
      <c r="H1" s="453"/>
      <c r="I1" s="453"/>
      <c r="J1" s="453"/>
      <c r="K1" s="453"/>
      <c r="L1" s="453"/>
      <c r="M1" s="453"/>
      <c r="N1" s="453"/>
      <c r="O1" s="453"/>
      <c r="P1" s="453"/>
    </row>
    <row r="2" spans="1:52" ht="16.5" thickBot="1" x14ac:dyDescent="0.3">
      <c r="AJ2" s="455" t="s">
        <v>577</v>
      </c>
    </row>
    <row r="3" spans="1:52" x14ac:dyDescent="0.2">
      <c r="B3" s="94" t="s">
        <v>402</v>
      </c>
      <c r="Q3" s="129"/>
      <c r="R3" s="456"/>
      <c r="S3" s="456"/>
      <c r="T3" s="456"/>
      <c r="U3" s="456"/>
      <c r="V3" s="456"/>
      <c r="W3" s="130"/>
    </row>
    <row r="4" spans="1:52" ht="15" x14ac:dyDescent="0.25">
      <c r="B4" s="94" t="s">
        <v>51</v>
      </c>
      <c r="E4" s="457">
        <v>1</v>
      </c>
      <c r="F4" s="457">
        <v>2</v>
      </c>
      <c r="G4" s="457">
        <v>2</v>
      </c>
      <c r="H4" s="457">
        <v>2</v>
      </c>
      <c r="I4" s="457">
        <v>2</v>
      </c>
      <c r="J4" s="457">
        <v>3</v>
      </c>
      <c r="K4" s="457">
        <v>3</v>
      </c>
      <c r="L4" s="457">
        <v>2</v>
      </c>
      <c r="Q4" s="151"/>
      <c r="R4" s="458" t="s">
        <v>403</v>
      </c>
      <c r="S4" s="459"/>
      <c r="T4" s="459"/>
      <c r="U4" s="459"/>
      <c r="V4" s="459"/>
      <c r="W4" s="132"/>
    </row>
    <row r="5" spans="1:52" x14ac:dyDescent="0.2">
      <c r="Q5" s="151"/>
      <c r="R5" s="460" t="s">
        <v>387</v>
      </c>
      <c r="S5" s="459"/>
      <c r="T5" s="460" t="s">
        <v>398</v>
      </c>
      <c r="U5" s="459"/>
      <c r="V5" s="459"/>
      <c r="W5" s="132"/>
      <c r="AJ5" s="94" t="s">
        <v>584</v>
      </c>
      <c r="AR5" s="94" t="s">
        <v>591</v>
      </c>
    </row>
    <row r="6" spans="1:52" x14ac:dyDescent="0.2">
      <c r="B6" s="94"/>
      <c r="E6" s="157" t="s">
        <v>43</v>
      </c>
      <c r="F6" s="41" t="s">
        <v>44</v>
      </c>
      <c r="G6" s="41" t="s">
        <v>45</v>
      </c>
      <c r="I6" s="41" t="s">
        <v>46</v>
      </c>
      <c r="J6" s="41" t="s">
        <v>43</v>
      </c>
      <c r="K6" s="41" t="s">
        <v>49</v>
      </c>
      <c r="L6" s="41" t="s">
        <v>47</v>
      </c>
      <c r="Q6" s="151"/>
      <c r="R6" s="461" t="s">
        <v>43</v>
      </c>
      <c r="S6" s="459"/>
      <c r="T6" s="462">
        <f>AN9</f>
        <v>20</v>
      </c>
      <c r="U6" s="459" t="s">
        <v>36</v>
      </c>
      <c r="V6" s="459"/>
      <c r="W6" s="132"/>
      <c r="AJ6" s="13"/>
      <c r="AK6" s="13"/>
      <c r="AL6" s="13"/>
      <c r="AM6" s="13"/>
      <c r="AN6" s="13"/>
      <c r="AO6" s="13"/>
      <c r="AP6" s="13"/>
    </row>
    <row r="7" spans="1:52" x14ac:dyDescent="0.2">
      <c r="B7" s="5" t="s">
        <v>32</v>
      </c>
      <c r="C7" s="7" t="s">
        <v>35</v>
      </c>
      <c r="E7" s="18">
        <v>0.96</v>
      </c>
      <c r="F7" s="18">
        <v>0.96</v>
      </c>
      <c r="G7" s="18">
        <v>0.96</v>
      </c>
      <c r="H7" s="18">
        <v>0.96</v>
      </c>
      <c r="I7" s="18">
        <v>0.96</v>
      </c>
      <c r="J7" s="18">
        <v>0.96</v>
      </c>
      <c r="K7" s="18">
        <v>0.96</v>
      </c>
      <c r="L7" s="18">
        <v>0.96</v>
      </c>
      <c r="Q7" s="463"/>
      <c r="R7" s="461" t="s">
        <v>388</v>
      </c>
      <c r="S7" s="459"/>
      <c r="T7" s="459"/>
      <c r="U7" s="459"/>
      <c r="V7" s="459"/>
      <c r="W7" s="132"/>
      <c r="AJ7" s="1002" t="s">
        <v>484</v>
      </c>
      <c r="AK7" s="1002"/>
      <c r="AL7" s="1002"/>
      <c r="AM7" s="464" t="s">
        <v>94</v>
      </c>
      <c r="AN7" s="462">
        <f>Fischzuchtanlage!J27</f>
        <v>0</v>
      </c>
      <c r="AO7" s="13"/>
      <c r="AP7" s="13"/>
      <c r="AR7" s="1013" t="s">
        <v>587</v>
      </c>
      <c r="AS7" s="1013"/>
      <c r="AT7" s="465" t="s">
        <v>589</v>
      </c>
      <c r="AU7" s="466">
        <f>Fischzuchtanlage!J52</f>
        <v>0</v>
      </c>
      <c r="AV7" s="466"/>
    </row>
    <row r="8" spans="1:52" x14ac:dyDescent="0.2">
      <c r="A8" s="5"/>
      <c r="B8" s="6" t="s">
        <v>33</v>
      </c>
      <c r="C8" s="7" t="s">
        <v>36</v>
      </c>
      <c r="E8" s="14">
        <v>23.4</v>
      </c>
      <c r="F8" s="467">
        <v>20</v>
      </c>
      <c r="G8" s="468">
        <v>18</v>
      </c>
      <c r="H8" s="467">
        <v>17</v>
      </c>
      <c r="I8" s="468">
        <v>16</v>
      </c>
      <c r="J8" s="468">
        <v>19.399999999999999</v>
      </c>
      <c r="K8" s="468">
        <v>19</v>
      </c>
      <c r="L8" s="468">
        <v>12.3</v>
      </c>
      <c r="Q8" s="463"/>
      <c r="R8" s="461" t="s">
        <v>389</v>
      </c>
      <c r="S8" s="459"/>
      <c r="T8" s="460" t="s">
        <v>393</v>
      </c>
      <c r="U8" s="459"/>
      <c r="V8" s="459"/>
      <c r="W8" s="132"/>
      <c r="AJ8" s="1002" t="s">
        <v>481</v>
      </c>
      <c r="AK8" s="1002"/>
      <c r="AL8" s="1002"/>
      <c r="AM8" s="464" t="s">
        <v>94</v>
      </c>
      <c r="AN8" s="462">
        <f>Fischzuchtanlage!J28</f>
        <v>0</v>
      </c>
      <c r="AO8" s="13"/>
      <c r="AP8" s="13"/>
      <c r="AU8" s="157"/>
      <c r="AV8" s="157"/>
    </row>
    <row r="9" spans="1:52" x14ac:dyDescent="0.2">
      <c r="A9" s="5"/>
      <c r="B9" s="8" t="s">
        <v>34</v>
      </c>
      <c r="E9" s="159">
        <v>0.04</v>
      </c>
      <c r="F9" s="467"/>
      <c r="G9" s="468"/>
      <c r="H9" s="467"/>
      <c r="I9" s="468"/>
      <c r="J9" s="468"/>
      <c r="K9" s="468"/>
      <c r="L9" s="468"/>
      <c r="Q9" s="463"/>
      <c r="R9" s="461" t="s">
        <v>391</v>
      </c>
      <c r="S9" s="459"/>
      <c r="T9" s="459" t="s">
        <v>37</v>
      </c>
      <c r="U9" s="469">
        <v>1</v>
      </c>
      <c r="V9" s="459" t="s">
        <v>38</v>
      </c>
      <c r="W9" s="132"/>
      <c r="AJ9" s="1002" t="s">
        <v>491</v>
      </c>
      <c r="AK9" s="1002"/>
      <c r="AL9" s="1002"/>
      <c r="AM9" s="464" t="s">
        <v>36</v>
      </c>
      <c r="AN9" s="462">
        <f>IF(Fischzuchtanlage!J31=0,U10,Fischzuchtanlage!J31)</f>
        <v>20</v>
      </c>
      <c r="AR9" s="94" t="s">
        <v>588</v>
      </c>
      <c r="AU9" s="157"/>
      <c r="AV9" s="157"/>
      <c r="AW9" s="470"/>
      <c r="AX9" s="470"/>
      <c r="AY9" s="94" t="s">
        <v>590</v>
      </c>
      <c r="AZ9" s="94" t="s">
        <v>530</v>
      </c>
    </row>
    <row r="10" spans="1:52" x14ac:dyDescent="0.2">
      <c r="A10" s="5"/>
      <c r="B10" s="8" t="s">
        <v>37</v>
      </c>
      <c r="C10" s="41" t="s">
        <v>38</v>
      </c>
      <c r="E10" s="471">
        <v>0.7</v>
      </c>
      <c r="F10" s="467">
        <v>1.1000000000000001</v>
      </c>
      <c r="G10" s="468">
        <v>1</v>
      </c>
      <c r="H10" s="467">
        <v>1</v>
      </c>
      <c r="I10" s="468">
        <v>1</v>
      </c>
      <c r="J10" s="468">
        <v>0.8</v>
      </c>
      <c r="K10" s="468">
        <v>1</v>
      </c>
      <c r="L10" s="468">
        <v>0.8</v>
      </c>
      <c r="Q10" s="463"/>
      <c r="R10" s="461" t="s">
        <v>47</v>
      </c>
      <c r="S10" s="459"/>
      <c r="T10" s="459" t="s">
        <v>33</v>
      </c>
      <c r="U10" s="793">
        <v>20</v>
      </c>
      <c r="V10" s="460" t="s">
        <v>550</v>
      </c>
      <c r="W10" s="132"/>
      <c r="AJ10" s="1002" t="s">
        <v>485</v>
      </c>
      <c r="AK10" s="1002"/>
      <c r="AL10" s="1002"/>
      <c r="AM10" s="464" t="s">
        <v>396</v>
      </c>
      <c r="AN10" s="462">
        <f>Fischzuchtanlage!J32</f>
        <v>0</v>
      </c>
      <c r="AR10" s="1014" t="s">
        <v>526</v>
      </c>
      <c r="AS10" s="1014"/>
      <c r="AT10" s="464" t="s">
        <v>269</v>
      </c>
      <c r="AU10" s="462">
        <f>Fischzuchtanlage!I59</f>
        <v>0</v>
      </c>
      <c r="AV10" s="472"/>
      <c r="AY10" s="473" t="str">
        <f>Fischzuchtanlage!L59</f>
        <v>gering</v>
      </c>
      <c r="AZ10" s="462" t="str">
        <f>Gewaesserbelastung!E19</f>
        <v/>
      </c>
    </row>
    <row r="11" spans="1:52" x14ac:dyDescent="0.2">
      <c r="A11" s="5"/>
      <c r="B11" s="8" t="s">
        <v>39</v>
      </c>
      <c r="C11" s="41" t="s">
        <v>40</v>
      </c>
      <c r="E11" s="471">
        <v>1</v>
      </c>
      <c r="F11" s="467">
        <v>1.2</v>
      </c>
      <c r="G11" s="468">
        <v>1.3</v>
      </c>
      <c r="H11" s="467">
        <v>1.7</v>
      </c>
      <c r="I11" s="468">
        <v>1.4</v>
      </c>
      <c r="J11" s="468">
        <v>1.2</v>
      </c>
      <c r="K11" s="468">
        <v>1.4</v>
      </c>
      <c r="L11" s="468">
        <v>3</v>
      </c>
      <c r="Q11" s="463"/>
      <c r="R11" s="461" t="s">
        <v>392</v>
      </c>
      <c r="S11" s="459"/>
      <c r="T11" s="459" t="s">
        <v>399</v>
      </c>
      <c r="U11" s="462">
        <f>AN8</f>
        <v>0</v>
      </c>
      <c r="V11" s="459" t="s">
        <v>400</v>
      </c>
      <c r="W11" s="132"/>
      <c r="AJ11" s="1002" t="s">
        <v>753</v>
      </c>
      <c r="AK11" s="1002"/>
      <c r="AL11" s="1002"/>
      <c r="AM11" s="464" t="s">
        <v>551</v>
      </c>
      <c r="AN11" s="474">
        <f>AN7/0.96/AN9*23.4</f>
        <v>0</v>
      </c>
      <c r="AR11" s="1014" t="s">
        <v>527</v>
      </c>
      <c r="AS11" s="1014"/>
      <c r="AT11" s="464" t="s">
        <v>269</v>
      </c>
      <c r="AU11" s="462">
        <f>Fischzuchtanlage!I60</f>
        <v>0</v>
      </c>
      <c r="AV11" s="472"/>
      <c r="AZ11" s="462" t="str">
        <f>Gewaesserbelastung!E20</f>
        <v/>
      </c>
    </row>
    <row r="12" spans="1:52" x14ac:dyDescent="0.2">
      <c r="A12" s="5"/>
      <c r="B12" s="5"/>
      <c r="C12" s="12"/>
      <c r="D12" s="5"/>
      <c r="E12" s="5"/>
      <c r="F12" s="5"/>
      <c r="G12" s="5"/>
      <c r="H12" s="5"/>
      <c r="Q12" s="151"/>
      <c r="R12" s="461" t="s">
        <v>49</v>
      </c>
      <c r="S12" s="459"/>
      <c r="T12" s="459" t="s">
        <v>401</v>
      </c>
      <c r="U12" s="475">
        <f>IF(T6&gt;0,(T6*-0.074+2.71)*U11/100,(U10*-0.074+2.71)*U11/100)</f>
        <v>0</v>
      </c>
      <c r="V12" s="459" t="s">
        <v>396</v>
      </c>
      <c r="W12" s="132"/>
      <c r="AJ12" s="1002" t="s">
        <v>482</v>
      </c>
      <c r="AK12" s="1002"/>
      <c r="AL12" s="1002"/>
      <c r="AM12" s="464" t="s">
        <v>119</v>
      </c>
      <c r="AN12" s="462">
        <f>Fischzuchtanlage!J39</f>
        <v>0</v>
      </c>
      <c r="AR12" s="1014" t="s">
        <v>541</v>
      </c>
      <c r="AS12" s="1014"/>
      <c r="AT12" s="464" t="s">
        <v>269</v>
      </c>
      <c r="AU12" s="462">
        <f>Fischzuchtanlage!I61</f>
        <v>0</v>
      </c>
      <c r="AV12" s="472"/>
      <c r="AZ12" s="462" t="str">
        <f>Gewaesserbelastung!E21</f>
        <v/>
      </c>
    </row>
    <row r="13" spans="1:52" x14ac:dyDescent="0.2">
      <c r="A13" s="5"/>
      <c r="B13" s="13" t="s">
        <v>52</v>
      </c>
      <c r="C13" s="14"/>
      <c r="D13" s="5"/>
      <c r="E13" s="476" t="s">
        <v>1055</v>
      </c>
      <c r="F13" s="476"/>
      <c r="G13" s="476"/>
      <c r="H13" s="476"/>
      <c r="I13" s="477"/>
      <c r="J13" s="477"/>
      <c r="K13" s="477"/>
      <c r="L13" s="477"/>
      <c r="Q13" s="151"/>
      <c r="R13" s="461" t="s">
        <v>390</v>
      </c>
      <c r="S13" s="459"/>
      <c r="T13" s="459" t="s">
        <v>401</v>
      </c>
      <c r="U13" s="475">
        <f>(23.4*-0.074+2.71)*U11/100</f>
        <v>0</v>
      </c>
      <c r="V13" s="459" t="s">
        <v>1054</v>
      </c>
      <c r="W13" s="132"/>
      <c r="AJ13" s="1002" t="s">
        <v>483</v>
      </c>
      <c r="AK13" s="1002"/>
      <c r="AL13" s="1002"/>
      <c r="AM13" s="464" t="s">
        <v>119</v>
      </c>
      <c r="AN13" s="462">
        <f>Fischzuchtanlage!J40</f>
        <v>0</v>
      </c>
      <c r="AR13" s="1014" t="s">
        <v>528</v>
      </c>
      <c r="AS13" s="1014"/>
      <c r="AT13" s="464" t="s">
        <v>269</v>
      </c>
      <c r="AU13" s="462">
        <f>Fischzuchtanlage!I62</f>
        <v>0</v>
      </c>
      <c r="AV13" s="472"/>
      <c r="AZ13" s="462" t="str">
        <f>Gewaesserbelastung!E22</f>
        <v/>
      </c>
    </row>
    <row r="14" spans="1:52" ht="13.5" thickBot="1" x14ac:dyDescent="0.25">
      <c r="A14" s="5"/>
      <c r="B14" s="13" t="s">
        <v>53</v>
      </c>
      <c r="C14" s="12"/>
      <c r="D14" s="5"/>
      <c r="E14" s="5"/>
      <c r="F14" s="5"/>
      <c r="G14" s="5"/>
      <c r="H14" s="5"/>
      <c r="I14" s="5"/>
      <c r="J14" s="5"/>
      <c r="K14" s="5"/>
      <c r="L14" s="5"/>
      <c r="Q14" s="143"/>
      <c r="R14" s="478"/>
      <c r="S14" s="478"/>
      <c r="T14" s="478"/>
      <c r="U14" s="478"/>
      <c r="V14" s="478"/>
      <c r="W14" s="144"/>
      <c r="AJ14" s="1002" t="s">
        <v>487</v>
      </c>
      <c r="AK14" s="1002"/>
      <c r="AL14" s="1002"/>
      <c r="AM14" s="464" t="s">
        <v>509</v>
      </c>
      <c r="AN14" s="462">
        <f>Fischzuchtanlage!J42</f>
        <v>0</v>
      </c>
    </row>
    <row r="15" spans="1:52" x14ac:dyDescent="0.2">
      <c r="A15" s="5"/>
      <c r="B15" s="13"/>
      <c r="C15" s="12"/>
      <c r="D15" s="5"/>
      <c r="E15" s="5"/>
      <c r="F15" s="5"/>
      <c r="G15" s="5"/>
      <c r="H15" s="5"/>
      <c r="I15" s="5"/>
      <c r="J15" s="5"/>
      <c r="K15" s="5"/>
      <c r="L15" s="5"/>
      <c r="AO15" s="1018" t="s">
        <v>586</v>
      </c>
      <c r="AP15" s="1018"/>
      <c r="AQ15" s="1018"/>
      <c r="AR15" s="1018"/>
    </row>
    <row r="16" spans="1:52" s="127" customFormat="1" x14ac:dyDescent="0.2">
      <c r="A16" s="453"/>
      <c r="B16" s="454" t="s">
        <v>317</v>
      </c>
      <c r="C16" s="453"/>
      <c r="D16" s="453"/>
      <c r="E16" s="453"/>
      <c r="F16" s="453"/>
      <c r="G16" s="453"/>
      <c r="H16" s="453"/>
      <c r="I16" s="453"/>
      <c r="J16" s="453"/>
      <c r="K16" s="453"/>
      <c r="L16" s="453"/>
      <c r="M16" s="453"/>
      <c r="N16" s="453"/>
      <c r="O16" s="453"/>
      <c r="P16" s="453"/>
      <c r="AJ16" s="1002" t="s">
        <v>497</v>
      </c>
      <c r="AK16" s="1002"/>
      <c r="AL16" s="1002"/>
      <c r="AM16" s="1002"/>
      <c r="AN16" s="462">
        <f>Fischzuchtanlage!C18</f>
        <v>3</v>
      </c>
      <c r="AO16" s="991" t="str">
        <f>Fischzuchtanlage!G18</f>
        <v>c) Kreislaufanlage</v>
      </c>
      <c r="AP16" s="992"/>
      <c r="AQ16" s="992"/>
      <c r="AR16" s="993"/>
    </row>
    <row r="17" spans="1:54" ht="12.75" customHeight="1" thickBot="1" x14ac:dyDescent="0.25">
      <c r="A17" s="1020" t="s">
        <v>384</v>
      </c>
      <c r="B17" s="5"/>
      <c r="C17" s="12"/>
      <c r="D17" s="5"/>
      <c r="E17" s="5"/>
      <c r="F17" s="5"/>
      <c r="G17" s="5"/>
      <c r="H17" s="5"/>
      <c r="AA17" s="479" t="s">
        <v>508</v>
      </c>
      <c r="AJ17" s="1002" t="s">
        <v>585</v>
      </c>
      <c r="AK17" s="1002"/>
      <c r="AL17" s="1002"/>
      <c r="AM17" s="1002"/>
      <c r="AN17" s="462">
        <f>Fischzuchtanlage!C69</f>
        <v>1</v>
      </c>
    </row>
    <row r="18" spans="1:54" x14ac:dyDescent="0.2">
      <c r="A18" s="1020"/>
      <c r="B18" s="480" t="s">
        <v>408</v>
      </c>
      <c r="C18" s="5"/>
      <c r="D18" s="480" t="s">
        <v>61</v>
      </c>
      <c r="E18" s="5"/>
      <c r="F18" s="5"/>
      <c r="G18" s="5"/>
      <c r="H18" s="480" t="s">
        <v>207</v>
      </c>
      <c r="Q18" s="129"/>
      <c r="R18" s="456"/>
      <c r="S18" s="456"/>
      <c r="T18" s="456"/>
      <c r="U18" s="456"/>
      <c r="V18" s="456"/>
      <c r="W18" s="456"/>
      <c r="X18" s="456"/>
      <c r="Y18" s="456"/>
      <c r="Z18" s="456"/>
      <c r="AA18" s="479"/>
      <c r="AJ18" s="1002" t="s">
        <v>503</v>
      </c>
      <c r="AK18" s="1002"/>
      <c r="AL18" s="1002"/>
      <c r="AM18" s="1002"/>
      <c r="AN18" s="474">
        <f>Fischzuchtanlage!C70</f>
        <v>2</v>
      </c>
    </row>
    <row r="19" spans="1:54" x14ac:dyDescent="0.2">
      <c r="A19" s="1020"/>
      <c r="B19" s="5"/>
      <c r="C19" s="5"/>
      <c r="D19" s="5"/>
      <c r="E19" s="5"/>
      <c r="F19" s="5"/>
      <c r="G19" s="5"/>
      <c r="H19" s="5" t="s">
        <v>220</v>
      </c>
      <c r="Q19" s="151"/>
      <c r="R19" s="460" t="s">
        <v>754</v>
      </c>
      <c r="S19" s="459"/>
      <c r="T19" s="459"/>
      <c r="U19" s="459"/>
      <c r="V19" s="459"/>
      <c r="W19" s="459"/>
      <c r="X19" s="459"/>
      <c r="Y19" s="459"/>
      <c r="Z19" s="459"/>
      <c r="AA19" s="479"/>
      <c r="AO19" s="1018" t="s">
        <v>586</v>
      </c>
      <c r="AP19" s="1018"/>
      <c r="AQ19" s="1018"/>
      <c r="AR19" s="1018"/>
    </row>
    <row r="20" spans="1:54" x14ac:dyDescent="0.2">
      <c r="A20" s="1020"/>
      <c r="B20" s="9" t="s">
        <v>54</v>
      </c>
      <c r="C20" s="5"/>
      <c r="D20" s="9" t="s">
        <v>60</v>
      </c>
      <c r="F20" s="5"/>
      <c r="G20" s="5"/>
      <c r="H20" s="5"/>
      <c r="K20" s="41" t="s">
        <v>216</v>
      </c>
      <c r="L20" s="41" t="s">
        <v>217</v>
      </c>
      <c r="M20" s="41" t="s">
        <v>406</v>
      </c>
      <c r="N20" s="41" t="s">
        <v>218</v>
      </c>
      <c r="O20" s="41" t="s">
        <v>219</v>
      </c>
      <c r="Q20" s="151"/>
      <c r="R20" s="459"/>
      <c r="S20" s="459"/>
      <c r="T20" s="459"/>
      <c r="U20" s="459"/>
      <c r="V20" s="459"/>
      <c r="W20" s="459"/>
      <c r="X20" s="459"/>
      <c r="Y20" s="459"/>
      <c r="Z20" s="459"/>
      <c r="AA20" s="479"/>
      <c r="AJ20" s="1002" t="s">
        <v>675</v>
      </c>
      <c r="AK20" s="1002"/>
      <c r="AL20" s="1002"/>
      <c r="AM20" s="1002"/>
      <c r="AN20" s="474">
        <f>Fischzuchtanlage!C80</f>
        <v>1</v>
      </c>
      <c r="AO20" s="991" t="str">
        <f>Fischzuchtanlage!H80</f>
        <v>a) keine</v>
      </c>
      <c r="AP20" s="992"/>
      <c r="AQ20" s="992"/>
      <c r="AR20" s="993"/>
    </row>
    <row r="21" spans="1:54" ht="12.75" customHeight="1" x14ac:dyDescent="0.2">
      <c r="A21" s="1020"/>
      <c r="B21" s="10"/>
      <c r="C21" s="12" t="s">
        <v>38</v>
      </c>
      <c r="D21" s="21"/>
      <c r="E21" s="12" t="s">
        <v>38</v>
      </c>
      <c r="F21" s="5"/>
      <c r="G21" s="5"/>
      <c r="H21" s="5" t="s">
        <v>208</v>
      </c>
      <c r="K21" s="157">
        <v>100</v>
      </c>
      <c r="L21" s="157">
        <v>154</v>
      </c>
      <c r="M21" s="157">
        <f>L21/2</f>
        <v>77</v>
      </c>
      <c r="N21" s="157">
        <v>6.1</v>
      </c>
      <c r="O21" s="157">
        <v>1.1000000000000001</v>
      </c>
      <c r="P21" s="157"/>
      <c r="Q21" s="151"/>
      <c r="R21" s="481"/>
      <c r="S21" s="1021" t="s">
        <v>510</v>
      </c>
      <c r="T21" s="1021"/>
      <c r="U21" s="1015" t="s">
        <v>512</v>
      </c>
      <c r="V21" s="1015"/>
      <c r="W21" s="482"/>
      <c r="X21" s="482"/>
      <c r="Y21" s="482"/>
      <c r="Z21" s="482"/>
      <c r="AA21" s="479"/>
      <c r="AJ21" s="1002" t="s">
        <v>426</v>
      </c>
      <c r="AK21" s="1002"/>
      <c r="AL21" s="1002"/>
      <c r="AM21" s="1002"/>
      <c r="AN21" s="474">
        <f>Fischzuchtanlage!C79</f>
        <v>1</v>
      </c>
      <c r="AO21" s="991" t="str">
        <f>Fischzuchtanlage!H79</f>
        <v>d) keine</v>
      </c>
      <c r="AP21" s="992"/>
      <c r="AQ21" s="992"/>
      <c r="AR21" s="993"/>
    </row>
    <row r="22" spans="1:54" x14ac:dyDescent="0.2">
      <c r="A22" s="1020"/>
      <c r="B22" s="5" t="s">
        <v>64</v>
      </c>
      <c r="C22" s="12">
        <v>100</v>
      </c>
      <c r="D22" s="5" t="s">
        <v>64</v>
      </c>
      <c r="E22" s="157">
        <v>100</v>
      </c>
      <c r="F22" s="5"/>
      <c r="G22" s="5"/>
      <c r="H22" s="5" t="s">
        <v>209</v>
      </c>
      <c r="K22" s="157">
        <v>96</v>
      </c>
      <c r="L22" s="157">
        <v>144</v>
      </c>
      <c r="M22" s="157">
        <f t="shared" ref="M22:M28" si="0">L22/2</f>
        <v>72</v>
      </c>
      <c r="N22" s="157">
        <v>5.9</v>
      </c>
      <c r="O22" s="157">
        <v>1.1000000000000001</v>
      </c>
      <c r="P22" s="157"/>
      <c r="Q22" s="151"/>
      <c r="R22" s="483" t="str">
        <f>INDEX(Texte,26,Fischzuchtanlage!$N$2)</f>
        <v>a) Durchflussanlage</v>
      </c>
      <c r="S22" s="1022" t="str">
        <f>INDEX(Texte,29,Fischzuchtanlage!$N$2)</f>
        <v>Anlagen mit einem ständigen Wasserdurchfluss wie Becken, Fliesskanäle, Teiche.</v>
      </c>
      <c r="T22" s="1023"/>
      <c r="U22" s="1016" t="str">
        <f>INDEX(Texte,32,Fischzuchtanlage!$N$2)</f>
        <v>Bei Durchfluss und Teichanlagen sind Massnahmen notwendig um das Entweichen von Fischen zu verhindern. Entsprechende Angaben und Pläne sind mit dem Gesuch einzureichen.</v>
      </c>
      <c r="V22" s="1017"/>
      <c r="W22" s="484"/>
      <c r="X22" s="484"/>
      <c r="Y22" s="484"/>
      <c r="Z22" s="485"/>
      <c r="AA22" s="486">
        <v>1</v>
      </c>
    </row>
    <row r="23" spans="1:54" x14ac:dyDescent="0.2">
      <c r="A23" s="1020"/>
      <c r="B23" s="5" t="s">
        <v>34</v>
      </c>
      <c r="C23" s="12">
        <v>4</v>
      </c>
      <c r="D23" s="5" t="s">
        <v>34</v>
      </c>
      <c r="E23" s="157">
        <v>4</v>
      </c>
      <c r="F23" s="5"/>
      <c r="G23" s="5"/>
      <c r="H23" s="13" t="s">
        <v>210</v>
      </c>
      <c r="K23" s="157"/>
      <c r="L23" s="157">
        <v>64</v>
      </c>
      <c r="M23" s="157">
        <f t="shared" si="0"/>
        <v>32</v>
      </c>
      <c r="N23" s="157">
        <v>2.9</v>
      </c>
      <c r="O23" s="157">
        <v>0.4</v>
      </c>
      <c r="P23" s="157"/>
      <c r="Q23" s="151"/>
      <c r="R23" s="483" t="str">
        <f>INDEX(Texte,27,Fischzuchtanlage!$N$2)</f>
        <v>b) Teichanlage</v>
      </c>
      <c r="S23" s="1022" t="str">
        <f>INDEX(Texte,30,Fischzuchtanlage!$N$2)</f>
        <v>flache, nicht ständig durchströmte, ablassbare Gewässer.</v>
      </c>
      <c r="T23" s="1023"/>
      <c r="U23" s="1016" t="str">
        <f>INDEX(Texte,33,Fischzuchtanlage!$N$2)</f>
        <v>Bei Durchfluss und Teichanlagen sind Massnahmen notwendig um das Entweichen von Fischen zu verhindern. Entsprechende Angaben und Pläne sind mit dem Gesuch einzureichen.</v>
      </c>
      <c r="V23" s="1017"/>
      <c r="W23" s="484"/>
      <c r="X23" s="484"/>
      <c r="Y23" s="484"/>
      <c r="Z23" s="485"/>
      <c r="AA23" s="486">
        <v>2</v>
      </c>
      <c r="AY23" s="41" t="s">
        <v>596</v>
      </c>
    </row>
    <row r="24" spans="1:54" x14ac:dyDescent="0.2">
      <c r="A24" s="1020"/>
      <c r="E24" s="157"/>
      <c r="F24" s="5"/>
      <c r="G24" s="5"/>
      <c r="H24" s="13" t="s">
        <v>211</v>
      </c>
      <c r="K24" s="157">
        <v>4</v>
      </c>
      <c r="L24" s="157">
        <v>6</v>
      </c>
      <c r="M24" s="157">
        <f t="shared" si="0"/>
        <v>3</v>
      </c>
      <c r="N24" s="157">
        <v>0.2</v>
      </c>
      <c r="O24" s="157">
        <v>0.04</v>
      </c>
      <c r="P24" s="157"/>
      <c r="Q24" s="151"/>
      <c r="R24" s="483" t="str">
        <f>INDEX(Texte,28,Fischzuchtanlage!$N$2)</f>
        <v>c) Kreislaufanlage</v>
      </c>
      <c r="S24" s="1022" t="str">
        <f>INDEX(Texte,31,Fischzuchtanlage!$N$2)</f>
        <v>Anlagen mit Behältersystemen in denen das Wasser im Kreislauf geführt wird, mit Biofiltern inkl. Denitrifikation zur Wasseraufbereitung. Die Feststoffabtrennung und -Entwässerung wird automatisch berücksichtigt</v>
      </c>
      <c r="T24" s="1023"/>
      <c r="U24" s="848" t="s">
        <v>498</v>
      </c>
      <c r="V24" s="849"/>
      <c r="W24" s="484"/>
      <c r="X24" s="484"/>
      <c r="Y24" s="484"/>
      <c r="Z24" s="485"/>
      <c r="AA24" s="486">
        <v>3</v>
      </c>
      <c r="AR24" s="127"/>
      <c r="AT24" s="487"/>
      <c r="AU24" s="487"/>
      <c r="AV24" s="487"/>
      <c r="AW24" s="127"/>
      <c r="AX24" s="127"/>
    </row>
    <row r="25" spans="1:54" ht="12.75" customHeight="1" x14ac:dyDescent="0.2">
      <c r="A25" s="1020"/>
      <c r="B25" s="13" t="s">
        <v>55</v>
      </c>
      <c r="C25" s="12">
        <v>96</v>
      </c>
      <c r="D25" s="13" t="s">
        <v>55</v>
      </c>
      <c r="E25" s="157">
        <v>96</v>
      </c>
      <c r="F25" s="5"/>
      <c r="G25" s="5"/>
      <c r="H25" s="16" t="s">
        <v>212</v>
      </c>
      <c r="K25" s="157"/>
      <c r="L25" s="157">
        <v>30</v>
      </c>
      <c r="M25" s="157">
        <f t="shared" si="0"/>
        <v>15</v>
      </c>
      <c r="N25" s="157">
        <v>0.8</v>
      </c>
      <c r="O25" s="157">
        <v>0.6</v>
      </c>
      <c r="P25" s="157"/>
      <c r="Q25" s="151"/>
      <c r="R25" s="483"/>
      <c r="S25" s="1024" t="s">
        <v>498</v>
      </c>
      <c r="T25" s="1024"/>
      <c r="U25" s="1043" t="s">
        <v>498</v>
      </c>
      <c r="V25" s="1043"/>
      <c r="W25" s="488"/>
      <c r="X25" s="488"/>
      <c r="Y25" s="488"/>
      <c r="Z25" s="489"/>
      <c r="AA25" s="486">
        <v>4</v>
      </c>
      <c r="AJ25" s="178" t="s">
        <v>581</v>
      </c>
      <c r="AK25" s="13"/>
      <c r="AL25" s="13"/>
      <c r="AM25" s="13"/>
      <c r="AN25" s="13"/>
      <c r="AO25" s="13"/>
      <c r="AP25" s="13"/>
      <c r="AR25" s="94" t="s">
        <v>617</v>
      </c>
      <c r="AY25" s="94" t="s">
        <v>605</v>
      </c>
    </row>
    <row r="26" spans="1:54" x14ac:dyDescent="0.2">
      <c r="A26" s="1020"/>
      <c r="B26" s="13" t="s">
        <v>57</v>
      </c>
      <c r="C26" s="14">
        <v>36</v>
      </c>
      <c r="D26" s="13" t="s">
        <v>57</v>
      </c>
      <c r="E26" s="157">
        <v>47</v>
      </c>
      <c r="F26" s="5"/>
      <c r="G26" s="5"/>
      <c r="H26" s="16" t="s">
        <v>213</v>
      </c>
      <c r="K26" s="157"/>
      <c r="L26" s="157"/>
      <c r="M26" s="157"/>
      <c r="N26" s="157">
        <v>2.2000000000000002</v>
      </c>
      <c r="O26" s="157">
        <v>0.1</v>
      </c>
      <c r="P26" s="157"/>
      <c r="Q26" s="151"/>
      <c r="R26" s="459"/>
      <c r="S26" s="459"/>
      <c r="T26" s="459"/>
      <c r="U26" s="459"/>
      <c r="V26" s="459"/>
      <c r="W26" s="459"/>
      <c r="X26" s="459"/>
      <c r="Y26" s="459"/>
      <c r="Z26" s="459"/>
      <c r="AA26" s="479"/>
      <c r="AJ26" s="41" t="s">
        <v>604</v>
      </c>
      <c r="AK26" s="13"/>
      <c r="AL26" s="13"/>
      <c r="AM26" s="13"/>
      <c r="AN26" s="13"/>
      <c r="AO26" s="13"/>
      <c r="AP26" s="13"/>
      <c r="AR26" s="490"/>
      <c r="AS26" s="491" t="s">
        <v>586</v>
      </c>
      <c r="AT26" s="161">
        <f>AN17</f>
        <v>1</v>
      </c>
      <c r="AV26" s="13"/>
      <c r="AY26" s="490"/>
      <c r="AZ26" s="491" t="s">
        <v>586</v>
      </c>
      <c r="BA26" s="492">
        <f>IF(AT26&lt;3,2,AN18)</f>
        <v>2</v>
      </c>
    </row>
    <row r="27" spans="1:54" x14ac:dyDescent="0.2">
      <c r="A27" s="1020"/>
      <c r="B27" s="20" t="s">
        <v>56</v>
      </c>
      <c r="C27" s="14">
        <v>64</v>
      </c>
      <c r="D27" s="20" t="s">
        <v>56</v>
      </c>
      <c r="E27" s="157">
        <v>49</v>
      </c>
      <c r="F27" s="5"/>
      <c r="G27" s="5"/>
      <c r="H27" s="13" t="s">
        <v>214</v>
      </c>
      <c r="K27" s="157"/>
      <c r="L27" s="157">
        <v>10</v>
      </c>
      <c r="M27" s="793">
        <v>6.7</v>
      </c>
      <c r="N27" s="793">
        <v>2.5</v>
      </c>
      <c r="O27" s="793">
        <v>0.2</v>
      </c>
      <c r="P27" s="157"/>
      <c r="Q27" s="151"/>
      <c r="R27" s="460" t="s">
        <v>488</v>
      </c>
      <c r="S27" s="459"/>
      <c r="T27" s="459"/>
      <c r="U27" s="459"/>
      <c r="V27" s="459"/>
      <c r="W27" s="459"/>
      <c r="X27" s="459"/>
      <c r="Y27" s="459"/>
      <c r="Z27" s="459"/>
      <c r="AA27" s="479"/>
      <c r="AJ27" s="13"/>
      <c r="AK27" s="13"/>
      <c r="AL27" s="13"/>
      <c r="AM27" s="13"/>
      <c r="AN27" s="13"/>
      <c r="AO27" s="13"/>
      <c r="AP27" s="13"/>
      <c r="AV27" s="14"/>
      <c r="AZ27" s="157"/>
      <c r="BA27" s="157"/>
    </row>
    <row r="28" spans="1:54" ht="13.5" thickBot="1" x14ac:dyDescent="0.25">
      <c r="A28" s="1020"/>
      <c r="B28" s="20" t="s">
        <v>58</v>
      </c>
      <c r="C28" s="14">
        <v>18</v>
      </c>
      <c r="D28" s="20" t="s">
        <v>58</v>
      </c>
      <c r="E28" s="157">
        <v>38</v>
      </c>
      <c r="F28" s="5" t="s">
        <v>236</v>
      </c>
      <c r="G28" s="5"/>
      <c r="H28" s="13" t="s">
        <v>215</v>
      </c>
      <c r="K28" s="157"/>
      <c r="L28" s="157">
        <v>26</v>
      </c>
      <c r="M28" s="462">
        <f t="shared" si="0"/>
        <v>13</v>
      </c>
      <c r="N28" s="793">
        <v>0.7</v>
      </c>
      <c r="O28" s="793">
        <v>0.5</v>
      </c>
      <c r="P28" s="157"/>
      <c r="Q28" s="151"/>
      <c r="R28" s="459"/>
      <c r="S28" s="1021" t="s">
        <v>511</v>
      </c>
      <c r="T28" s="1021"/>
      <c r="U28" s="459"/>
      <c r="V28" s="459"/>
      <c r="W28" s="459"/>
      <c r="X28" s="459"/>
      <c r="Y28" s="459"/>
      <c r="Z28" s="459"/>
      <c r="AA28" s="479"/>
      <c r="AJ28" s="479"/>
      <c r="AK28" s="479"/>
      <c r="AL28" s="479"/>
      <c r="AM28" s="479"/>
      <c r="AN28" s="493"/>
      <c r="AO28" s="479"/>
      <c r="AP28" s="479"/>
      <c r="AR28" s="494" t="s">
        <v>580</v>
      </c>
      <c r="AS28" s="494"/>
      <c r="AT28" s="494"/>
      <c r="AU28" s="494"/>
      <c r="AV28" s="14"/>
      <c r="AY28" s="495" t="s">
        <v>594</v>
      </c>
      <c r="AZ28" s="496">
        <v>1</v>
      </c>
      <c r="BA28" s="496">
        <v>2</v>
      </c>
    </row>
    <row r="29" spans="1:54" x14ac:dyDescent="0.2">
      <c r="A29" s="1020"/>
      <c r="B29" s="20" t="s">
        <v>59</v>
      </c>
      <c r="C29" s="14">
        <v>45</v>
      </c>
      <c r="D29" s="20" t="s">
        <v>59</v>
      </c>
      <c r="E29" s="157">
        <v>11</v>
      </c>
      <c r="H29" s="13" t="s">
        <v>423</v>
      </c>
      <c r="M29" s="462">
        <f>M27+M28</f>
        <v>19.7</v>
      </c>
      <c r="N29" s="462">
        <f t="shared" ref="N29:O29" si="1">N27+N28</f>
        <v>3.2</v>
      </c>
      <c r="O29" s="462">
        <f t="shared" si="1"/>
        <v>0.7</v>
      </c>
      <c r="Q29" s="151"/>
      <c r="R29" s="497" t="str">
        <f>INDEX(Texte,36,Fischzuchtanlage!$N$2)</f>
        <v>Kommerzielle Zucht</v>
      </c>
      <c r="S29" s="1025" t="str">
        <f>INDEX(Texte,38,Fischzuchtanlage!$N$2)</f>
        <v>Die Betreiber von kommerziellen Fischzuchten müssen entsprechende Ausbildungskurse besuchen.</v>
      </c>
      <c r="T29" s="1026"/>
      <c r="U29" s="484"/>
      <c r="V29" s="484"/>
      <c r="W29" s="484"/>
      <c r="X29" s="484"/>
      <c r="Y29" s="484"/>
      <c r="Z29" s="484"/>
      <c r="AA29" s="479"/>
      <c r="AJ29" s="498" t="s">
        <v>394</v>
      </c>
      <c r="AK29" s="996" t="s">
        <v>419</v>
      </c>
      <c r="AL29" s="996"/>
      <c r="AM29" s="479"/>
      <c r="AN29" s="996" t="s">
        <v>578</v>
      </c>
      <c r="AO29" s="996"/>
      <c r="AP29" s="499"/>
      <c r="AR29" s="500">
        <v>1</v>
      </c>
      <c r="AS29" s="500">
        <v>2</v>
      </c>
      <c r="AT29" s="500">
        <v>3</v>
      </c>
      <c r="AU29" s="500">
        <v>4</v>
      </c>
      <c r="AV29" s="501" t="s">
        <v>593</v>
      </c>
      <c r="AY29" s="453"/>
      <c r="AZ29" s="453" t="s">
        <v>583</v>
      </c>
      <c r="BA29" s="453" t="s">
        <v>582</v>
      </c>
      <c r="BB29" s="502" t="s">
        <v>595</v>
      </c>
    </row>
    <row r="30" spans="1:54" x14ac:dyDescent="0.2">
      <c r="A30" s="1020"/>
      <c r="Q30" s="151"/>
      <c r="R30" s="497" t="str">
        <f>INDEX(Texte,37,Fischzuchtanlage!$N$2)</f>
        <v>Zucht für den Eigenbedarf</v>
      </c>
      <c r="S30" s="1025" t="str">
        <f>INDEX(Texte,39,Fischzuchtanlage!$N$2)</f>
        <v/>
      </c>
      <c r="T30" s="1026"/>
      <c r="U30" s="488"/>
      <c r="V30" s="488"/>
      <c r="W30" s="488"/>
      <c r="X30" s="488"/>
      <c r="Y30" s="488"/>
      <c r="Z30" s="488"/>
      <c r="AA30" s="479"/>
      <c r="AJ30" s="503" t="s">
        <v>66</v>
      </c>
      <c r="AK30" s="119" t="s">
        <v>306</v>
      </c>
      <c r="AL30" s="119" t="s">
        <v>380</v>
      </c>
      <c r="AM30" s="504"/>
      <c r="AN30" s="119" t="s">
        <v>306</v>
      </c>
      <c r="AO30" s="505" t="s">
        <v>380</v>
      </c>
      <c r="AP30" s="506"/>
      <c r="AR30" s="119"/>
      <c r="AS30" s="507"/>
      <c r="AT30" s="507"/>
      <c r="AU30" s="503"/>
      <c r="AV30" s="508"/>
      <c r="AY30" s="505" t="s">
        <v>66</v>
      </c>
      <c r="AZ30" s="507"/>
      <c r="BA30" s="503"/>
      <c r="BB30" s="508"/>
    </row>
    <row r="31" spans="1:54" ht="13.5" thickBot="1" x14ac:dyDescent="0.25">
      <c r="A31" s="1020"/>
      <c r="C31" s="41" t="s">
        <v>63</v>
      </c>
      <c r="E31" s="41" t="s">
        <v>63</v>
      </c>
      <c r="Q31" s="143"/>
      <c r="R31" s="478"/>
      <c r="S31" s="478"/>
      <c r="T31" s="478"/>
      <c r="U31" s="478"/>
      <c r="V31" s="478"/>
      <c r="W31" s="478"/>
      <c r="X31" s="478"/>
      <c r="Y31" s="478"/>
      <c r="Z31" s="478"/>
      <c r="AA31" s="479"/>
      <c r="AJ31" s="503" t="s">
        <v>381</v>
      </c>
      <c r="AK31" s="509">
        <f>Z50</f>
        <v>0</v>
      </c>
      <c r="AL31" s="509">
        <f>AA50</f>
        <v>0</v>
      </c>
      <c r="AM31" s="510" t="s">
        <v>396</v>
      </c>
      <c r="AN31" s="509">
        <f>AC50</f>
        <v>0</v>
      </c>
      <c r="AO31" s="509">
        <f>AD50</f>
        <v>0</v>
      </c>
      <c r="AP31" s="511"/>
      <c r="AR31" s="512"/>
      <c r="AS31" s="512"/>
      <c r="AT31" s="512"/>
      <c r="AU31" s="513"/>
      <c r="AV31" s="514"/>
      <c r="AY31" s="515" t="s">
        <v>255</v>
      </c>
      <c r="AZ31" s="791">
        <v>0</v>
      </c>
      <c r="BA31" s="125">
        <v>0.35</v>
      </c>
      <c r="BB31" s="516">
        <f>HLOOKUP(BA26,AZ28:BA35,4)</f>
        <v>0.35</v>
      </c>
    </row>
    <row r="32" spans="1:54" x14ac:dyDescent="0.2">
      <c r="A32" s="1020"/>
      <c r="B32" s="5" t="s">
        <v>64</v>
      </c>
      <c r="C32" s="12">
        <v>11</v>
      </c>
      <c r="D32" s="5" t="s">
        <v>64</v>
      </c>
      <c r="E32" s="157">
        <v>61</v>
      </c>
      <c r="AJ32" s="503" t="s">
        <v>378</v>
      </c>
      <c r="AK32" s="509">
        <f>Z51</f>
        <v>0</v>
      </c>
      <c r="AL32" s="509">
        <f>AA51</f>
        <v>0</v>
      </c>
      <c r="AM32" s="510" t="s">
        <v>396</v>
      </c>
      <c r="AN32" s="509">
        <f>AC51</f>
        <v>0</v>
      </c>
      <c r="AO32" s="509">
        <f>AD51</f>
        <v>0</v>
      </c>
      <c r="AP32" s="511"/>
      <c r="AQ32" s="127"/>
      <c r="AR32" s="512"/>
      <c r="AS32" s="512"/>
      <c r="AT32" s="512"/>
      <c r="AU32" s="513"/>
      <c r="AV32" s="514"/>
      <c r="AW32" s="127"/>
      <c r="AX32" s="127"/>
      <c r="AY32" s="517" t="s">
        <v>378</v>
      </c>
      <c r="AZ32" s="791">
        <v>0</v>
      </c>
      <c r="BA32" s="125">
        <v>0.23</v>
      </c>
      <c r="BB32" s="516">
        <f>HLOOKUP(BA26,AZ28:BA35,5)</f>
        <v>0.23</v>
      </c>
    </row>
    <row r="33" spans="1:56" x14ac:dyDescent="0.2">
      <c r="A33" s="1020"/>
      <c r="B33" s="5" t="s">
        <v>34</v>
      </c>
      <c r="C33" s="12">
        <v>0.4</v>
      </c>
      <c r="D33" s="5" t="s">
        <v>34</v>
      </c>
      <c r="E33" s="157">
        <v>2</v>
      </c>
      <c r="AJ33" s="503" t="s">
        <v>421</v>
      </c>
      <c r="AK33" s="509">
        <f>Z52</f>
        <v>0</v>
      </c>
      <c r="AL33" s="509"/>
      <c r="AM33" s="510" t="s">
        <v>396</v>
      </c>
      <c r="AN33" s="509">
        <f>AC52</f>
        <v>0</v>
      </c>
      <c r="AO33" s="509"/>
      <c r="AP33" s="511"/>
      <c r="AR33" s="512"/>
      <c r="AS33" s="512"/>
      <c r="AT33" s="512"/>
      <c r="AU33" s="513"/>
      <c r="AV33" s="514"/>
      <c r="AY33" s="517"/>
      <c r="AZ33" s="512"/>
      <c r="BA33" s="513"/>
      <c r="BB33" s="514"/>
    </row>
    <row r="34" spans="1:56" x14ac:dyDescent="0.2">
      <c r="A34" s="1020"/>
      <c r="E34" s="157"/>
      <c r="AJ34" s="503" t="s">
        <v>379</v>
      </c>
      <c r="AK34" s="509">
        <f>Z53</f>
        <v>0</v>
      </c>
      <c r="AL34" s="509">
        <f>AA53</f>
        <v>0</v>
      </c>
      <c r="AM34" s="510" t="s">
        <v>396</v>
      </c>
      <c r="AN34" s="509">
        <f>AC53</f>
        <v>0</v>
      </c>
      <c r="AO34" s="509">
        <f>AD53</f>
        <v>0</v>
      </c>
      <c r="AP34" s="511"/>
      <c r="AR34" s="512"/>
      <c r="AS34" s="512"/>
      <c r="AT34" s="512"/>
      <c r="AU34" s="513"/>
      <c r="AV34" s="514"/>
      <c r="AY34" s="517" t="s">
        <v>379</v>
      </c>
      <c r="AZ34" s="791">
        <v>0</v>
      </c>
      <c r="BA34" s="125">
        <v>0.41</v>
      </c>
      <c r="BB34" s="516">
        <f>HLOOKUP(BA26,AZ28:BA35,7)</f>
        <v>0.41</v>
      </c>
    </row>
    <row r="35" spans="1:56" x14ac:dyDescent="0.2">
      <c r="A35" s="1020"/>
      <c r="B35" s="13" t="s">
        <v>55</v>
      </c>
      <c r="C35" s="12">
        <v>11</v>
      </c>
      <c r="D35" s="13" t="s">
        <v>55</v>
      </c>
      <c r="E35" s="157">
        <v>59</v>
      </c>
      <c r="AJ35" s="503" t="s">
        <v>90</v>
      </c>
      <c r="AK35" s="518"/>
      <c r="AL35" s="509">
        <f>AA54</f>
        <v>0</v>
      </c>
      <c r="AM35" s="510" t="s">
        <v>396</v>
      </c>
      <c r="AN35" s="518"/>
      <c r="AO35" s="509">
        <f>AD54</f>
        <v>0</v>
      </c>
      <c r="AP35" s="511"/>
      <c r="AR35" s="791">
        <v>0.3</v>
      </c>
      <c r="AS35" s="791">
        <v>0.3</v>
      </c>
      <c r="AT35" s="791">
        <v>0.5</v>
      </c>
      <c r="AU35" s="125">
        <v>0.6</v>
      </c>
      <c r="AV35" s="516">
        <f>HLOOKUP(AT26,AR29:AU35,7)</f>
        <v>0.3</v>
      </c>
      <c r="AW35" s="41" t="s">
        <v>653</v>
      </c>
      <c r="AY35" s="517"/>
      <c r="AZ35" s="512"/>
      <c r="BA35" s="513"/>
      <c r="BB35" s="514"/>
    </row>
    <row r="36" spans="1:56" ht="13.5" thickBot="1" x14ac:dyDescent="0.25">
      <c r="A36" s="1020"/>
      <c r="B36" s="13" t="s">
        <v>57</v>
      </c>
      <c r="C36" s="14">
        <v>4</v>
      </c>
      <c r="D36" s="13" t="s">
        <v>57</v>
      </c>
      <c r="E36" s="157">
        <v>29</v>
      </c>
      <c r="AJ36" s="479"/>
      <c r="AK36" s="479"/>
      <c r="AL36" s="479"/>
      <c r="AM36" s="479"/>
      <c r="AN36" s="479"/>
      <c r="AO36" s="479"/>
      <c r="AP36" s="479"/>
      <c r="AR36" s="519" t="s">
        <v>620</v>
      </c>
      <c r="AS36" s="453"/>
      <c r="AT36" s="453"/>
      <c r="AU36" s="453"/>
      <c r="AV36" s="520"/>
      <c r="AY36" s="505"/>
      <c r="AZ36" s="507"/>
      <c r="BA36" s="503"/>
      <c r="BB36" s="520"/>
    </row>
    <row r="37" spans="1:56" x14ac:dyDescent="0.2">
      <c r="A37" s="1020"/>
      <c r="B37" s="20" t="s">
        <v>56</v>
      </c>
      <c r="C37" s="14">
        <v>7</v>
      </c>
      <c r="D37" s="20" t="s">
        <v>56</v>
      </c>
      <c r="E37" s="157">
        <v>30</v>
      </c>
      <c r="AR37" s="521" t="s">
        <v>618</v>
      </c>
      <c r="AS37" s="521"/>
    </row>
    <row r="38" spans="1:56" x14ac:dyDescent="0.2">
      <c r="A38" s="1020"/>
      <c r="B38" s="20" t="s">
        <v>58</v>
      </c>
      <c r="C38" s="14">
        <v>2</v>
      </c>
      <c r="D38" s="20" t="s">
        <v>58</v>
      </c>
      <c r="E38" s="157">
        <v>23</v>
      </c>
      <c r="F38" s="5" t="s">
        <v>236</v>
      </c>
      <c r="AI38" s="470" t="s">
        <v>597</v>
      </c>
      <c r="AJ38" s="522" t="s">
        <v>579</v>
      </c>
      <c r="AK38" s="339"/>
      <c r="AL38" s="523">
        <f>AL35*365</f>
        <v>0</v>
      </c>
      <c r="AM38" s="339" t="s">
        <v>475</v>
      </c>
      <c r="AN38" s="339"/>
      <c r="AO38" s="523">
        <f>AO35*365</f>
        <v>0</v>
      </c>
      <c r="AP38" s="524"/>
      <c r="AR38" s="41" t="s">
        <v>619</v>
      </c>
      <c r="AT38" s="521"/>
      <c r="AU38" s="521"/>
      <c r="AV38" s="521"/>
      <c r="AW38" s="521"/>
      <c r="AX38" s="521"/>
      <c r="AY38" s="521"/>
      <c r="AZ38" s="521"/>
      <c r="BA38" s="521"/>
    </row>
    <row r="39" spans="1:56" x14ac:dyDescent="0.2">
      <c r="A39" s="1020"/>
      <c r="B39" s="20" t="s">
        <v>59</v>
      </c>
      <c r="C39" s="14">
        <v>5</v>
      </c>
      <c r="D39" s="20" t="s">
        <v>59</v>
      </c>
      <c r="E39" s="157">
        <v>7</v>
      </c>
      <c r="AI39" s="470" t="s">
        <v>598</v>
      </c>
      <c r="AJ39" s="522" t="s">
        <v>592</v>
      </c>
      <c r="AK39" s="339"/>
      <c r="AL39" s="523">
        <f>AL38*AV35</f>
        <v>0</v>
      </c>
      <c r="AM39" s="339" t="s">
        <v>475</v>
      </c>
      <c r="AN39" s="339"/>
      <c r="AO39" s="523">
        <f>AO38*AV35</f>
        <v>0</v>
      </c>
      <c r="AP39" s="524"/>
      <c r="AR39" s="41" t="s">
        <v>621</v>
      </c>
      <c r="AW39" s="127"/>
      <c r="AX39" s="127"/>
    </row>
    <row r="40" spans="1:56" ht="12.75" customHeight="1" x14ac:dyDescent="0.2">
      <c r="A40" s="1020"/>
      <c r="AR40" s="127"/>
      <c r="AS40" s="127"/>
    </row>
    <row r="41" spans="1:56" s="127" customFormat="1" ht="13.5" thickBot="1" x14ac:dyDescent="0.25">
      <c r="A41" s="1020"/>
      <c r="B41" s="525"/>
      <c r="C41" s="525"/>
      <c r="D41" s="525"/>
      <c r="E41" s="525"/>
      <c r="F41" s="525"/>
      <c r="G41" s="525"/>
      <c r="H41" s="525"/>
      <c r="I41" s="525"/>
      <c r="J41" s="525"/>
      <c r="K41" s="525"/>
      <c r="L41" s="525"/>
      <c r="M41" s="525"/>
      <c r="N41" s="525"/>
      <c r="O41" s="525"/>
      <c r="P41" s="525"/>
    </row>
    <row r="42" spans="1:56" ht="15" x14ac:dyDescent="0.25">
      <c r="A42" s="1020"/>
      <c r="Q42" s="526"/>
      <c r="R42" s="527"/>
      <c r="S42" s="527"/>
      <c r="T42" s="528" t="s">
        <v>545</v>
      </c>
      <c r="U42" s="527"/>
      <c r="V42" s="527"/>
      <c r="W42" s="527"/>
      <c r="X42" s="527"/>
      <c r="Y42" s="527"/>
      <c r="Z42" s="529" t="s">
        <v>542</v>
      </c>
      <c r="AA42" s="527"/>
      <c r="AB42" s="530" t="s">
        <v>603</v>
      </c>
      <c r="AC42" s="527"/>
      <c r="AD42" s="527"/>
      <c r="AE42" s="531"/>
      <c r="AJ42" s="94" t="s">
        <v>614</v>
      </c>
      <c r="AR42" s="94" t="s">
        <v>1006</v>
      </c>
      <c r="AY42" s="94" t="s">
        <v>616</v>
      </c>
    </row>
    <row r="43" spans="1:56" ht="15" x14ac:dyDescent="0.25">
      <c r="A43" s="1020"/>
      <c r="B43" s="22" t="s">
        <v>65</v>
      </c>
      <c r="D43" s="480" t="s">
        <v>61</v>
      </c>
      <c r="J43" s="127" t="s">
        <v>412</v>
      </c>
      <c r="Q43" s="532"/>
      <c r="R43" s="533" t="s">
        <v>548</v>
      </c>
      <c r="S43" s="479"/>
      <c r="T43" s="534" t="s">
        <v>418</v>
      </c>
      <c r="U43" s="534" t="s">
        <v>543</v>
      </c>
      <c r="V43" s="479"/>
      <c r="W43" s="479"/>
      <c r="X43" s="479"/>
      <c r="Y43" s="479"/>
      <c r="Z43" s="535">
        <f>AN9</f>
        <v>20</v>
      </c>
      <c r="AA43" s="479" t="s">
        <v>36</v>
      </c>
      <c r="AB43" s="479" t="s">
        <v>546</v>
      </c>
      <c r="AC43" s="479"/>
      <c r="AD43" s="479"/>
      <c r="AE43" s="536"/>
    </row>
    <row r="44" spans="1:56" x14ac:dyDescent="0.2">
      <c r="A44" s="1020"/>
      <c r="F44" s="7"/>
      <c r="Q44" s="532"/>
      <c r="R44" s="479"/>
      <c r="S44" s="479"/>
      <c r="T44" s="499" t="s">
        <v>404</v>
      </c>
      <c r="U44" s="537" t="s">
        <v>542</v>
      </c>
      <c r="V44" s="538"/>
      <c r="W44" s="479"/>
      <c r="X44" s="479" t="s">
        <v>544</v>
      </c>
      <c r="Y44" s="479"/>
      <c r="Z44" s="532" t="s">
        <v>424</v>
      </c>
      <c r="AA44" s="479"/>
      <c r="AB44" s="479" t="s">
        <v>573</v>
      </c>
      <c r="AC44" s="479"/>
      <c r="AD44" s="479"/>
      <c r="AE44" s="536"/>
      <c r="AJ44" s="479"/>
      <c r="AK44" s="479"/>
      <c r="AL44" s="479"/>
      <c r="AM44" s="479"/>
      <c r="AN44" s="493"/>
      <c r="AO44" s="479"/>
      <c r="AP44" s="479"/>
      <c r="AS44" s="792">
        <v>0.2</v>
      </c>
      <c r="AT44" s="41" t="s">
        <v>1015</v>
      </c>
      <c r="AW44" s="539"/>
      <c r="AY44" s="479"/>
      <c r="AZ44" s="479"/>
      <c r="BA44" s="479"/>
      <c r="BB44" s="479"/>
      <c r="BC44" s="493"/>
      <c r="BD44" s="479"/>
    </row>
    <row r="45" spans="1:56" x14ac:dyDescent="0.2">
      <c r="A45" s="1020"/>
      <c r="B45" s="94" t="s">
        <v>66</v>
      </c>
      <c r="C45" s="94" t="s">
        <v>67</v>
      </c>
      <c r="D45" s="480" t="s">
        <v>85</v>
      </c>
      <c r="I45" s="41" t="s">
        <v>414</v>
      </c>
      <c r="J45" s="41" t="s">
        <v>415</v>
      </c>
      <c r="O45" s="41" t="s">
        <v>417</v>
      </c>
      <c r="Q45" s="532"/>
      <c r="R45" s="479" t="s">
        <v>395</v>
      </c>
      <c r="S45" s="479"/>
      <c r="T45" s="523">
        <f>U13</f>
        <v>0</v>
      </c>
      <c r="U45" s="462">
        <f>AN10</f>
        <v>0</v>
      </c>
      <c r="V45" s="538" t="s">
        <v>396</v>
      </c>
      <c r="W45" s="479"/>
      <c r="X45" s="479" t="s">
        <v>545</v>
      </c>
      <c r="Y45" s="479"/>
      <c r="Z45" s="532" t="s">
        <v>549</v>
      </c>
      <c r="AA45" s="479"/>
      <c r="AB45" s="479" t="s">
        <v>547</v>
      </c>
      <c r="AC45" s="479"/>
      <c r="AD45" s="479"/>
      <c r="AE45" s="536"/>
      <c r="AJ45" s="498"/>
      <c r="AK45" s="996" t="s">
        <v>419</v>
      </c>
      <c r="AL45" s="996"/>
      <c r="AM45" s="479"/>
      <c r="AN45" s="996" t="s">
        <v>578</v>
      </c>
      <c r="AO45" s="996"/>
      <c r="AP45" s="499"/>
      <c r="AR45" s="41" t="s">
        <v>602</v>
      </c>
      <c r="AS45" s="540">
        <f>BA34</f>
        <v>0.41</v>
      </c>
      <c r="AT45" s="41" t="s">
        <v>600</v>
      </c>
      <c r="AW45" s="539"/>
      <c r="AY45" s="498"/>
      <c r="AZ45" s="996" t="s">
        <v>419</v>
      </c>
      <c r="BA45" s="996"/>
      <c r="BB45" s="479"/>
      <c r="BC45" s="996" t="s">
        <v>578</v>
      </c>
      <c r="BD45" s="996"/>
    </row>
    <row r="46" spans="1:56" x14ac:dyDescent="0.2">
      <c r="A46" s="1020"/>
      <c r="B46" s="41" t="s">
        <v>68</v>
      </c>
      <c r="C46" s="157">
        <v>2.2999999999999998</v>
      </c>
      <c r="I46" s="127" t="s">
        <v>413</v>
      </c>
      <c r="J46" s="127"/>
      <c r="K46" s="127"/>
      <c r="Q46" s="532"/>
      <c r="R46" s="479" t="s">
        <v>397</v>
      </c>
      <c r="S46" s="479"/>
      <c r="T46" s="541">
        <f>T45*0.04</f>
        <v>0</v>
      </c>
      <c r="U46" s="541">
        <f>U45*0.04</f>
        <v>0</v>
      </c>
      <c r="V46" s="538" t="s">
        <v>396</v>
      </c>
      <c r="W46" s="479"/>
      <c r="X46" s="479"/>
      <c r="Y46" s="479"/>
      <c r="Z46" s="532"/>
      <c r="AA46" s="479"/>
      <c r="AB46" s="479"/>
      <c r="AC46" s="479"/>
      <c r="AD46" s="479"/>
      <c r="AE46" s="536"/>
      <c r="AJ46" s="503" t="s">
        <v>66</v>
      </c>
      <c r="AK46" s="119" t="s">
        <v>600</v>
      </c>
      <c r="AL46" s="119" t="s">
        <v>599</v>
      </c>
      <c r="AM46" s="504"/>
      <c r="AN46" s="119" t="s">
        <v>600</v>
      </c>
      <c r="AO46" s="119" t="s">
        <v>599</v>
      </c>
      <c r="AP46" s="538"/>
      <c r="AR46" s="41" t="s">
        <v>642</v>
      </c>
      <c r="AS46" s="540">
        <f>BA32</f>
        <v>0.23</v>
      </c>
      <c r="AT46" s="41" t="s">
        <v>600</v>
      </c>
      <c r="AW46" s="539"/>
      <c r="AX46" s="13"/>
      <c r="AY46" s="503" t="s">
        <v>66</v>
      </c>
      <c r="AZ46" s="119" t="s">
        <v>600</v>
      </c>
      <c r="BA46" s="119" t="s">
        <v>599</v>
      </c>
      <c r="BB46" s="504"/>
      <c r="BC46" s="119" t="s">
        <v>600</v>
      </c>
      <c r="BD46" s="119" t="s">
        <v>599</v>
      </c>
    </row>
    <row r="47" spans="1:56" ht="13.5" thickBot="1" x14ac:dyDescent="0.25">
      <c r="A47" s="1020"/>
      <c r="B47" s="41" t="s">
        <v>69</v>
      </c>
      <c r="C47" s="157">
        <v>0.7</v>
      </c>
      <c r="D47" s="542" t="s">
        <v>86</v>
      </c>
      <c r="E47" s="543">
        <v>18</v>
      </c>
      <c r="F47" s="543">
        <v>19</v>
      </c>
      <c r="G47" s="543">
        <v>20</v>
      </c>
      <c r="H47" s="543">
        <v>21</v>
      </c>
      <c r="I47" s="471">
        <v>23.4</v>
      </c>
      <c r="J47" s="543">
        <v>18</v>
      </c>
      <c r="K47" s="543">
        <v>19</v>
      </c>
      <c r="L47" s="543">
        <v>20</v>
      </c>
      <c r="M47" s="543">
        <v>21</v>
      </c>
      <c r="N47" s="471">
        <v>23.4</v>
      </c>
      <c r="O47" s="453" t="s">
        <v>122</v>
      </c>
      <c r="P47" s="453" t="s">
        <v>416</v>
      </c>
      <c r="Q47" s="532"/>
      <c r="R47" s="479"/>
      <c r="S47" s="479"/>
      <c r="T47" s="479"/>
      <c r="U47" s="479"/>
      <c r="V47" s="479"/>
      <c r="W47" s="479"/>
      <c r="X47" s="479"/>
      <c r="Y47" s="479"/>
      <c r="Z47" s="544"/>
      <c r="AA47" s="545"/>
      <c r="AB47" s="546"/>
      <c r="AC47" s="547" t="s">
        <v>574</v>
      </c>
      <c r="AD47" s="545"/>
      <c r="AE47" s="548"/>
      <c r="AJ47" s="503" t="s">
        <v>381</v>
      </c>
      <c r="AK47" s="509">
        <f>AL31*AV35*BB31</f>
        <v>0</v>
      </c>
      <c r="AL47" s="509">
        <f>AL31*AV35-AK47</f>
        <v>0</v>
      </c>
      <c r="AM47" s="510" t="s">
        <v>396</v>
      </c>
      <c r="AN47" s="509">
        <f>AO31*AV35*BB31</f>
        <v>0</v>
      </c>
      <c r="AO47" s="509">
        <f>AO31*AV35-AN47</f>
        <v>0</v>
      </c>
      <c r="AP47" s="511"/>
      <c r="AR47" s="479"/>
      <c r="AS47" s="479"/>
      <c r="AT47" s="479"/>
      <c r="AU47" s="479"/>
      <c r="AV47" s="493"/>
      <c r="AW47" s="479"/>
      <c r="AX47" s="39"/>
      <c r="AY47" s="503" t="s">
        <v>381</v>
      </c>
      <c r="AZ47" s="509">
        <f>AL31*BA31</f>
        <v>0</v>
      </c>
      <c r="BA47" s="509">
        <f>AL31*(1-BA31)</f>
        <v>0</v>
      </c>
      <c r="BB47" s="510" t="s">
        <v>396</v>
      </c>
      <c r="BC47" s="509">
        <f>AO31*BA31</f>
        <v>0</v>
      </c>
      <c r="BD47" s="509">
        <f>AO31*(1-BA31)</f>
        <v>0</v>
      </c>
    </row>
    <row r="48" spans="1:56" x14ac:dyDescent="0.2">
      <c r="A48" s="1020"/>
      <c r="B48" s="41" t="s">
        <v>70</v>
      </c>
      <c r="C48" s="157">
        <v>3</v>
      </c>
      <c r="D48" s="41" t="s">
        <v>409</v>
      </c>
      <c r="E48" s="157">
        <v>116</v>
      </c>
      <c r="F48" s="157">
        <v>108</v>
      </c>
      <c r="G48" s="157">
        <v>100</v>
      </c>
      <c r="H48" s="157">
        <v>92</v>
      </c>
      <c r="I48" s="471">
        <f>-8*I47+260</f>
        <v>72.800000000000011</v>
      </c>
      <c r="J48" s="218">
        <f t="shared" ref="J48:M50" si="2">E48/$I48</f>
        <v>1.5934065934065931</v>
      </c>
      <c r="K48" s="218">
        <f t="shared" si="2"/>
        <v>1.4835164835164834</v>
      </c>
      <c r="L48" s="218">
        <f t="shared" si="2"/>
        <v>1.3736263736263734</v>
      </c>
      <c r="M48" s="218">
        <f t="shared" si="2"/>
        <v>1.2637362637362635</v>
      </c>
      <c r="N48" s="446">
        <v>1</v>
      </c>
      <c r="O48" s="453">
        <v>-0.1099</v>
      </c>
      <c r="P48" s="453">
        <v>3.5714000000000001</v>
      </c>
      <c r="Q48" s="532"/>
      <c r="R48" s="498" t="s">
        <v>394</v>
      </c>
      <c r="S48" s="479"/>
      <c r="T48" s="526" t="s">
        <v>419</v>
      </c>
      <c r="U48" s="527"/>
      <c r="V48" s="531"/>
      <c r="W48" s="549" t="s">
        <v>420</v>
      </c>
      <c r="X48" s="527"/>
      <c r="Y48" s="527"/>
      <c r="Z48" s="526" t="s">
        <v>419</v>
      </c>
      <c r="AA48" s="527"/>
      <c r="AB48" s="531"/>
      <c r="AC48" s="549" t="s">
        <v>420</v>
      </c>
      <c r="AD48" s="527"/>
      <c r="AE48" s="531"/>
      <c r="AJ48" s="503" t="s">
        <v>378</v>
      </c>
      <c r="AK48" s="509">
        <f>AL32*AV35*BB32</f>
        <v>0</v>
      </c>
      <c r="AL48" s="509">
        <f>AL32*AV35-AK48</f>
        <v>0</v>
      </c>
      <c r="AM48" s="510" t="s">
        <v>396</v>
      </c>
      <c r="AN48" s="509">
        <f>AO32*AV35*BB32</f>
        <v>0</v>
      </c>
      <c r="AO48" s="509">
        <f>AO32*AV35-AN48</f>
        <v>0</v>
      </c>
      <c r="AP48" s="511"/>
      <c r="AR48" s="498"/>
      <c r="AS48" s="989" t="s">
        <v>419</v>
      </c>
      <c r="AT48" s="990"/>
      <c r="AU48" s="479"/>
      <c r="AV48" s="989" t="s">
        <v>578</v>
      </c>
      <c r="AW48" s="990"/>
      <c r="AX48" s="14"/>
      <c r="AY48" s="503" t="s">
        <v>378</v>
      </c>
      <c r="AZ48" s="509">
        <f>AL32*BA32</f>
        <v>0</v>
      </c>
      <c r="BA48" s="509">
        <f>AL32*(1-BA32)</f>
        <v>0</v>
      </c>
      <c r="BB48" s="510" t="s">
        <v>396</v>
      </c>
      <c r="BC48" s="509">
        <f>AO32*BA32</f>
        <v>0</v>
      </c>
      <c r="BD48" s="509">
        <f>AO32*(1-BA32)</f>
        <v>0</v>
      </c>
    </row>
    <row r="49" spans="1:56" x14ac:dyDescent="0.2">
      <c r="A49" s="1020"/>
      <c r="B49" s="41" t="s">
        <v>71</v>
      </c>
      <c r="C49" s="157">
        <v>0.2</v>
      </c>
      <c r="D49" s="41" t="s">
        <v>410</v>
      </c>
      <c r="E49" s="157">
        <v>108.8</v>
      </c>
      <c r="F49" s="157">
        <v>103.2</v>
      </c>
      <c r="G49" s="157">
        <v>98</v>
      </c>
      <c r="H49" s="157">
        <v>93.3</v>
      </c>
      <c r="I49" s="471">
        <f>-5.17*I47+201.64</f>
        <v>80.661999999999992</v>
      </c>
      <c r="J49" s="218">
        <f t="shared" si="2"/>
        <v>1.3488383625498996</v>
      </c>
      <c r="K49" s="218">
        <f t="shared" si="2"/>
        <v>1.2794128585951254</v>
      </c>
      <c r="L49" s="218">
        <f t="shared" si="2"/>
        <v>1.2149463192085495</v>
      </c>
      <c r="M49" s="218">
        <f t="shared" si="2"/>
        <v>1.156678485532221</v>
      </c>
      <c r="N49" s="446">
        <v>1</v>
      </c>
      <c r="O49" s="453">
        <v>-6.4100000000000004E-2</v>
      </c>
      <c r="P49" s="453">
        <v>2.4998</v>
      </c>
      <c r="Q49" s="532"/>
      <c r="R49" s="479"/>
      <c r="S49" s="479"/>
      <c r="T49" s="550" t="s">
        <v>306</v>
      </c>
      <c r="U49" s="506" t="s">
        <v>422</v>
      </c>
      <c r="V49" s="536"/>
      <c r="W49" s="550" t="s">
        <v>306</v>
      </c>
      <c r="X49" s="506" t="s">
        <v>422</v>
      </c>
      <c r="Y49" s="479"/>
      <c r="Z49" s="551" t="s">
        <v>306</v>
      </c>
      <c r="AA49" s="522" t="s">
        <v>422</v>
      </c>
      <c r="AB49" s="552"/>
      <c r="AC49" s="339" t="s">
        <v>306</v>
      </c>
      <c r="AD49" s="522" t="s">
        <v>422</v>
      </c>
      <c r="AE49" s="553"/>
      <c r="AJ49" s="503" t="s">
        <v>421</v>
      </c>
      <c r="AK49" s="509">
        <f>0.9*AK48</f>
        <v>0</v>
      </c>
      <c r="AL49" s="554"/>
      <c r="AM49" s="510" t="s">
        <v>396</v>
      </c>
      <c r="AN49" s="509">
        <f>0.9*AN48</f>
        <v>0</v>
      </c>
      <c r="AO49" s="554"/>
      <c r="AP49" s="541"/>
      <c r="AR49" s="503" t="s">
        <v>66</v>
      </c>
      <c r="AS49" s="119" t="s">
        <v>600</v>
      </c>
      <c r="AT49" s="119" t="s">
        <v>601</v>
      </c>
      <c r="AU49" s="504"/>
      <c r="AV49" s="119" t="s">
        <v>600</v>
      </c>
      <c r="AW49" s="119" t="s">
        <v>601</v>
      </c>
      <c r="AX49" s="555"/>
      <c r="AY49" s="503" t="s">
        <v>421</v>
      </c>
      <c r="AZ49" s="509"/>
      <c r="BA49" s="554"/>
      <c r="BB49" s="510" t="s">
        <v>396</v>
      </c>
      <c r="BC49" s="509"/>
      <c r="BD49" s="554"/>
    </row>
    <row r="50" spans="1:56" x14ac:dyDescent="0.2">
      <c r="A50" s="1020"/>
      <c r="B50" s="41" t="s">
        <v>72</v>
      </c>
      <c r="C50" s="157">
        <v>0.7</v>
      </c>
      <c r="D50" s="41" t="s">
        <v>411</v>
      </c>
      <c r="E50" s="157">
        <v>19.399999999999999</v>
      </c>
      <c r="F50" s="157">
        <v>18.399999999999999</v>
      </c>
      <c r="G50" s="157">
        <v>17.5</v>
      </c>
      <c r="H50" s="157">
        <v>16.7</v>
      </c>
      <c r="I50" s="471">
        <f>-0.9*I47+35.55</f>
        <v>14.489999999999998</v>
      </c>
      <c r="J50" s="218">
        <f t="shared" si="2"/>
        <v>1.3388543823326433</v>
      </c>
      <c r="K50" s="218">
        <f t="shared" si="2"/>
        <v>1.2698412698412698</v>
      </c>
      <c r="L50" s="218">
        <f t="shared" si="2"/>
        <v>1.2077294685990339</v>
      </c>
      <c r="M50" s="218">
        <f t="shared" si="2"/>
        <v>1.1525189786059351</v>
      </c>
      <c r="N50" s="446">
        <v>1</v>
      </c>
      <c r="O50" s="453">
        <v>-6.2100000000000002E-2</v>
      </c>
      <c r="P50" s="453">
        <v>2.4533999999999998</v>
      </c>
      <c r="Q50" s="532"/>
      <c r="R50" s="479" t="s">
        <v>381</v>
      </c>
      <c r="S50" s="479"/>
      <c r="T50" s="556">
        <f>$T$45/100*M27</f>
        <v>0</v>
      </c>
      <c r="U50" s="557">
        <f>$T$45/100*M28+$T$46*M29/100</f>
        <v>0</v>
      </c>
      <c r="V50" s="558" t="s">
        <v>396</v>
      </c>
      <c r="W50" s="556">
        <f>$U$45/100*M27</f>
        <v>0</v>
      </c>
      <c r="X50" s="557">
        <f>$U$45/100*M28+$U$46*M29/100</f>
        <v>0</v>
      </c>
      <c r="Y50" s="479"/>
      <c r="Z50" s="559">
        <f>($Z$43*$O$48+$P$48)*T50</f>
        <v>0</v>
      </c>
      <c r="AA50" s="509">
        <f>($Z$43*$O$48+$P$48)*U50</f>
        <v>0</v>
      </c>
      <c r="AB50" s="339" t="s">
        <v>396</v>
      </c>
      <c r="AC50" s="509">
        <f>($Z$43*$O$48+$P$48)*W50</f>
        <v>0</v>
      </c>
      <c r="AD50" s="509">
        <f>($Z$43*$O$48+$P$48)*X50</f>
        <v>0</v>
      </c>
      <c r="AE50" s="553"/>
      <c r="AJ50" s="503" t="s">
        <v>379</v>
      </c>
      <c r="AK50" s="509">
        <f>AL34*AV35*BB34</f>
        <v>0</v>
      </c>
      <c r="AL50" s="509">
        <f>AL34*AV35-AK50</f>
        <v>0</v>
      </c>
      <c r="AM50" s="510" t="s">
        <v>396</v>
      </c>
      <c r="AN50" s="509">
        <f>AO34*AV35*BB34</f>
        <v>0</v>
      </c>
      <c r="AO50" s="509">
        <f>AO34*AV35-AN50</f>
        <v>0</v>
      </c>
      <c r="AP50" s="511"/>
      <c r="AR50" s="503" t="s">
        <v>379</v>
      </c>
      <c r="AS50" s="509">
        <f>AL34*AS44*AS45</f>
        <v>0</v>
      </c>
      <c r="AT50" s="509">
        <f>AL34*AS44*(1-AS45)</f>
        <v>0</v>
      </c>
      <c r="AU50" s="510" t="s">
        <v>396</v>
      </c>
      <c r="AV50" s="509">
        <f>AO34*AS44*AS45</f>
        <v>0</v>
      </c>
      <c r="AW50" s="509">
        <f>AO34*AS44*(1-AS45)</f>
        <v>0</v>
      </c>
      <c r="AY50" s="503" t="s">
        <v>379</v>
      </c>
      <c r="AZ50" s="509">
        <f>AL34*BA34</f>
        <v>0</v>
      </c>
      <c r="BA50" s="509">
        <f>AL34*(1-BA34)</f>
        <v>0</v>
      </c>
      <c r="BB50" s="510" t="s">
        <v>396</v>
      </c>
      <c r="BC50" s="509">
        <f>AO34*BA34</f>
        <v>0</v>
      </c>
      <c r="BD50" s="509">
        <f>AO34*(1-BA34)</f>
        <v>0</v>
      </c>
    </row>
    <row r="51" spans="1:56" x14ac:dyDescent="0.2">
      <c r="A51" s="1020"/>
      <c r="B51" s="41" t="s">
        <v>73</v>
      </c>
      <c r="C51" s="157">
        <v>10</v>
      </c>
      <c r="Q51" s="532"/>
      <c r="R51" s="479" t="s">
        <v>378</v>
      </c>
      <c r="S51" s="479"/>
      <c r="T51" s="556">
        <f>$T$45/100*N27</f>
        <v>0</v>
      </c>
      <c r="U51" s="557">
        <f>$T$45/100*N28+$T$46*N29/100</f>
        <v>0</v>
      </c>
      <c r="V51" s="558" t="s">
        <v>396</v>
      </c>
      <c r="W51" s="556">
        <f>$U$45/100*N27</f>
        <v>0</v>
      </c>
      <c r="X51" s="557">
        <f>$U$45/100*N28+$U$46*N29/100</f>
        <v>0</v>
      </c>
      <c r="Y51" s="479"/>
      <c r="Z51" s="559">
        <f>($Z$43*$O$49+$P$49)*T51</f>
        <v>0</v>
      </c>
      <c r="AA51" s="509">
        <f>($Z$43*$O$49+$P$49)*U51</f>
        <v>0</v>
      </c>
      <c r="AB51" s="339" t="s">
        <v>396</v>
      </c>
      <c r="AC51" s="509">
        <f>($Z$43*$O$49+$P$49)*W51</f>
        <v>0</v>
      </c>
      <c r="AD51" s="509">
        <f>($Z$43*$O$49+$P$49)*X51</f>
        <v>0</v>
      </c>
      <c r="AE51" s="553"/>
      <c r="AJ51" s="503" t="s">
        <v>90</v>
      </c>
      <c r="AK51" s="507"/>
      <c r="AL51" s="560"/>
      <c r="AM51" s="510" t="s">
        <v>396</v>
      </c>
      <c r="AN51" s="507"/>
      <c r="AO51" s="560"/>
      <c r="AP51" s="561"/>
      <c r="AR51" s="503" t="s">
        <v>378</v>
      </c>
      <c r="AS51" s="509">
        <f>AL32*AS44*AS46</f>
        <v>0</v>
      </c>
      <c r="AT51" s="509">
        <f>AL32*AS44*(1-AS46)</f>
        <v>0</v>
      </c>
      <c r="AU51" s="510" t="s">
        <v>396</v>
      </c>
      <c r="AV51" s="509">
        <f>AO32*AS44*AS46</f>
        <v>0</v>
      </c>
      <c r="AW51" s="509">
        <f>AO32*AS44*(1-AS46)</f>
        <v>0</v>
      </c>
      <c r="AY51" s="503" t="s">
        <v>90</v>
      </c>
      <c r="AZ51" s="507"/>
      <c r="BA51" s="560"/>
      <c r="BB51" s="510" t="s">
        <v>396</v>
      </c>
      <c r="BC51" s="507"/>
      <c r="BD51" s="560"/>
    </row>
    <row r="52" spans="1:56" x14ac:dyDescent="0.2">
      <c r="A52" s="1020"/>
      <c r="Q52" s="532"/>
      <c r="R52" s="479" t="s">
        <v>421</v>
      </c>
      <c r="S52" s="479"/>
      <c r="T52" s="556">
        <f>0.9*T51</f>
        <v>0</v>
      </c>
      <c r="U52" s="562"/>
      <c r="V52" s="558" t="s">
        <v>396</v>
      </c>
      <c r="W52" s="556">
        <f>0.9*W51</f>
        <v>0</v>
      </c>
      <c r="X52" s="562"/>
      <c r="Y52" s="479"/>
      <c r="Z52" s="559">
        <f>0.9*Z51</f>
        <v>0</v>
      </c>
      <c r="AA52" s="518"/>
      <c r="AB52" s="339" t="s">
        <v>396</v>
      </c>
      <c r="AC52" s="509">
        <f>0.9*AC51</f>
        <v>0</v>
      </c>
      <c r="AD52" s="518"/>
      <c r="AE52" s="553"/>
      <c r="AJ52" s="479"/>
      <c r="AK52" s="479"/>
      <c r="AL52" s="479"/>
      <c r="AM52" s="479"/>
      <c r="AN52" s="479"/>
      <c r="AO52" s="479"/>
      <c r="AP52" s="479"/>
      <c r="AY52" s="479"/>
      <c r="AZ52" s="479"/>
      <c r="BA52" s="479"/>
      <c r="BB52" s="479"/>
      <c r="BC52" s="479"/>
      <c r="BD52" s="479"/>
    </row>
    <row r="53" spans="1:56" s="127" customFormat="1" x14ac:dyDescent="0.2">
      <c r="A53" s="1020"/>
      <c r="B53" s="525"/>
      <c r="C53" s="525"/>
      <c r="D53" s="525"/>
      <c r="E53" s="525"/>
      <c r="F53" s="525"/>
      <c r="G53" s="525"/>
      <c r="H53" s="525"/>
      <c r="I53" s="525"/>
      <c r="J53" s="525"/>
      <c r="K53" s="525"/>
      <c r="L53" s="525"/>
      <c r="M53" s="525"/>
      <c r="N53" s="525"/>
      <c r="O53" s="525"/>
      <c r="P53" s="525"/>
      <c r="Q53" s="532"/>
      <c r="R53" s="479" t="s">
        <v>379</v>
      </c>
      <c r="S53" s="479"/>
      <c r="T53" s="556">
        <f>$T$45/100*O27</f>
        <v>0</v>
      </c>
      <c r="U53" s="557">
        <f>$T$45/100*O28+$T$46*O29/100</f>
        <v>0</v>
      </c>
      <c r="V53" s="558" t="s">
        <v>396</v>
      </c>
      <c r="W53" s="556">
        <f>$U$45/100*O27</f>
        <v>0</v>
      </c>
      <c r="X53" s="557">
        <f>$U$45/100*O28+$U$46*O29/100</f>
        <v>0</v>
      </c>
      <c r="Y53" s="479"/>
      <c r="Z53" s="559">
        <f>($Z$43*$O$50+$P$50)*T53</f>
        <v>0</v>
      </c>
      <c r="AA53" s="509">
        <f>($Z$43*$O$50+$P$50)*U53</f>
        <v>0</v>
      </c>
      <c r="AB53" s="339" t="s">
        <v>396</v>
      </c>
      <c r="AC53" s="509">
        <f>($Z$43*$O$50+$P$50)*W53</f>
        <v>0</v>
      </c>
      <c r="AD53" s="509">
        <f>($Z$43*$O$50+$P$50)*X53</f>
        <v>0</v>
      </c>
      <c r="AE53" s="553"/>
    </row>
    <row r="54" spans="1:56" ht="13.5" thickBot="1" x14ac:dyDescent="0.25">
      <c r="A54" s="1020"/>
      <c r="Q54" s="532"/>
      <c r="R54" s="479" t="s">
        <v>90</v>
      </c>
      <c r="S54" s="479"/>
      <c r="T54" s="563"/>
      <c r="U54" s="564">
        <f>$T$45/100*C70+$T$46*C70/100</f>
        <v>0</v>
      </c>
      <c r="V54" s="565" t="s">
        <v>396</v>
      </c>
      <c r="W54" s="563"/>
      <c r="X54" s="564">
        <f>$U$45/100*C70+$U$46*C70/100</f>
        <v>0</v>
      </c>
      <c r="Y54" s="545"/>
      <c r="Z54" s="566"/>
      <c r="AA54" s="567">
        <f>($Z$43*$O$48+$P$48)*U54</f>
        <v>0</v>
      </c>
      <c r="AB54" s="568" t="s">
        <v>396</v>
      </c>
      <c r="AC54" s="569"/>
      <c r="AD54" s="567">
        <f>($Z$43*$O$48+$P$48)*X54</f>
        <v>0</v>
      </c>
      <c r="AE54" s="570"/>
      <c r="AR54" s="41" t="s">
        <v>1007</v>
      </c>
      <c r="AY54" s="127" t="s">
        <v>622</v>
      </c>
      <c r="AZ54" s="127"/>
      <c r="BA54" s="127"/>
      <c r="BB54" s="127"/>
      <c r="BC54" s="127"/>
      <c r="BD54" s="127"/>
    </row>
    <row r="55" spans="1:56" ht="16.5" thickBot="1" x14ac:dyDescent="0.3">
      <c r="A55" s="1020"/>
      <c r="B55" s="571" t="s">
        <v>298</v>
      </c>
      <c r="Q55" s="544"/>
      <c r="R55" s="545"/>
      <c r="S55" s="545"/>
      <c r="T55" s="545"/>
      <c r="U55" s="545"/>
      <c r="V55" s="545"/>
      <c r="W55" s="545"/>
      <c r="X55" s="545"/>
      <c r="Y55" s="572"/>
      <c r="Z55" s="545"/>
      <c r="AA55" s="545"/>
      <c r="AB55" s="545"/>
      <c r="AC55" s="545"/>
      <c r="AD55" s="545"/>
      <c r="AE55" s="548"/>
      <c r="AK55" s="92"/>
      <c r="AR55" s="41" t="s">
        <v>1008</v>
      </c>
      <c r="AY55" s="13" t="s">
        <v>623</v>
      </c>
      <c r="AZ55" s="127"/>
      <c r="BA55" s="127"/>
      <c r="BB55" s="127"/>
      <c r="BC55" s="127"/>
      <c r="BD55" s="127"/>
    </row>
    <row r="56" spans="1:56" ht="15" x14ac:dyDescent="0.25">
      <c r="A56" s="1020"/>
      <c r="B56" s="40" t="s">
        <v>299</v>
      </c>
      <c r="AR56" s="41" t="s">
        <v>1009</v>
      </c>
      <c r="AY56" s="13" t="s">
        <v>624</v>
      </c>
      <c r="AZ56" s="127"/>
      <c r="BA56" s="127"/>
      <c r="BB56" s="127"/>
      <c r="BC56" s="127"/>
      <c r="BD56" s="127"/>
    </row>
    <row r="57" spans="1:56" x14ac:dyDescent="0.2">
      <c r="A57" s="1020"/>
      <c r="B57" s="42" t="s">
        <v>300</v>
      </c>
      <c r="C57" s="43"/>
      <c r="I57" s="13"/>
      <c r="J57" s="13"/>
      <c r="K57" s="13"/>
      <c r="L57" s="13"/>
      <c r="M57" s="13"/>
      <c r="N57" s="13"/>
      <c r="O57" s="13"/>
      <c r="P57" s="13"/>
      <c r="Q57" s="13"/>
      <c r="R57" s="13"/>
      <c r="AL57" s="92"/>
      <c r="AR57" s="41" t="s">
        <v>1010</v>
      </c>
      <c r="AY57" s="127"/>
      <c r="AZ57" s="127"/>
      <c r="BA57" s="127"/>
      <c r="BB57" s="127"/>
      <c r="BC57" s="127"/>
      <c r="BD57" s="127"/>
    </row>
    <row r="58" spans="1:56" ht="12.75" customHeight="1" x14ac:dyDescent="0.2">
      <c r="A58" s="1020"/>
      <c r="B58" s="44" t="s">
        <v>301</v>
      </c>
      <c r="C58" s="43"/>
      <c r="I58" s="13"/>
      <c r="J58" s="13"/>
      <c r="K58" s="13"/>
      <c r="L58" s="13"/>
      <c r="M58" s="13"/>
      <c r="N58" s="13"/>
      <c r="O58" s="13"/>
      <c r="P58" s="13"/>
      <c r="Q58" s="13"/>
      <c r="R58" s="13"/>
      <c r="AL58" s="92"/>
      <c r="AR58" s="41" t="s">
        <v>1011</v>
      </c>
    </row>
    <row r="59" spans="1:56" x14ac:dyDescent="0.2">
      <c r="A59" s="1020"/>
      <c r="B59" s="42" t="s">
        <v>302</v>
      </c>
      <c r="C59" s="43"/>
      <c r="I59" s="13"/>
      <c r="J59" s="13"/>
      <c r="K59" s="13"/>
      <c r="L59" s="13"/>
      <c r="M59" s="13"/>
      <c r="N59" s="13"/>
      <c r="O59" s="13"/>
      <c r="P59" s="13"/>
      <c r="Q59" s="13"/>
      <c r="R59" s="13"/>
      <c r="AL59" s="92"/>
      <c r="AR59" s="41" t="s">
        <v>1012</v>
      </c>
    </row>
    <row r="60" spans="1:56" ht="15.75" x14ac:dyDescent="0.2">
      <c r="A60" s="1020"/>
      <c r="B60" s="42" t="s">
        <v>407</v>
      </c>
      <c r="C60" s="43"/>
      <c r="I60" s="13"/>
      <c r="J60" s="13"/>
      <c r="K60" s="13"/>
      <c r="L60" s="13"/>
      <c r="M60" s="13"/>
      <c r="N60" s="13"/>
      <c r="O60" s="13"/>
      <c r="P60" s="13"/>
      <c r="Q60" s="13"/>
      <c r="R60" s="13"/>
      <c r="AL60" s="92"/>
      <c r="AR60" s="41" t="s">
        <v>669</v>
      </c>
    </row>
    <row r="61" spans="1:56" x14ac:dyDescent="0.2">
      <c r="A61" s="1020"/>
      <c r="B61" s="45" t="s">
        <v>303</v>
      </c>
      <c r="C61" s="43"/>
      <c r="I61" s="13"/>
      <c r="J61" s="13"/>
      <c r="K61" s="13"/>
      <c r="L61" s="13"/>
      <c r="M61" s="13"/>
      <c r="N61" s="13"/>
      <c r="O61" s="13"/>
      <c r="P61" s="13"/>
      <c r="Q61" s="13"/>
      <c r="R61" s="13"/>
      <c r="AR61" s="41" t="s">
        <v>1013</v>
      </c>
      <c r="AS61" s="92"/>
    </row>
    <row r="62" spans="1:56" ht="13.5" thickBot="1" x14ac:dyDescent="0.25">
      <c r="A62" s="1020"/>
      <c r="B62" s="46" t="s">
        <v>304</v>
      </c>
      <c r="C62" s="43"/>
      <c r="E62" s="94" t="s">
        <v>405</v>
      </c>
      <c r="I62" s="13"/>
      <c r="J62" s="13"/>
      <c r="K62" s="13"/>
      <c r="L62" s="13"/>
      <c r="M62" s="13"/>
      <c r="N62" s="13"/>
      <c r="O62" s="13"/>
      <c r="P62" s="13"/>
      <c r="Q62" s="13"/>
      <c r="R62" s="13"/>
      <c r="AR62" s="41" t="s">
        <v>615</v>
      </c>
      <c r="AT62" s="573"/>
      <c r="AU62" s="573"/>
      <c r="AV62" s="573"/>
      <c r="AW62" s="573"/>
      <c r="AX62" s="573"/>
      <c r="AY62" s="573"/>
      <c r="AZ62" s="573"/>
      <c r="BA62" s="573"/>
    </row>
    <row r="63" spans="1:56" ht="13.5" thickBot="1" x14ac:dyDescent="0.25">
      <c r="A63" s="1020"/>
      <c r="B63" s="47" t="s">
        <v>305</v>
      </c>
      <c r="C63" s="48" t="s">
        <v>67</v>
      </c>
      <c r="E63" s="94" t="s">
        <v>66</v>
      </c>
      <c r="F63" s="95" t="s">
        <v>306</v>
      </c>
      <c r="G63" s="95" t="s">
        <v>380</v>
      </c>
      <c r="I63" s="13"/>
      <c r="J63" s="13"/>
      <c r="K63" s="13"/>
      <c r="L63" s="13"/>
      <c r="M63" s="13"/>
      <c r="N63" s="13"/>
      <c r="O63" s="13"/>
      <c r="P63" s="13"/>
      <c r="Q63" s="13"/>
      <c r="R63" s="13"/>
      <c r="AR63" s="41" t="s">
        <v>1014</v>
      </c>
      <c r="AT63" s="92"/>
      <c r="AZ63" s="573"/>
      <c r="BA63" s="573"/>
    </row>
    <row r="64" spans="1:56" x14ac:dyDescent="0.2">
      <c r="A64" s="1020"/>
      <c r="B64" s="49" t="s">
        <v>255</v>
      </c>
      <c r="C64" s="50">
        <v>6.7</v>
      </c>
      <c r="D64" s="41" t="s">
        <v>306</v>
      </c>
      <c r="E64" s="41" t="s">
        <v>377</v>
      </c>
      <c r="F64" s="96">
        <v>0.28000000000000003</v>
      </c>
      <c r="G64" s="96">
        <v>0.72</v>
      </c>
      <c r="I64" s="13"/>
      <c r="J64" s="574"/>
      <c r="K64" s="574"/>
      <c r="L64" s="575"/>
      <c r="M64" s="575"/>
      <c r="N64" s="575"/>
      <c r="O64" s="575"/>
      <c r="P64" s="575"/>
      <c r="Q64" s="575"/>
      <c r="R64" s="13"/>
      <c r="AJ64" s="94"/>
      <c r="AZ64" s="573"/>
      <c r="BA64" s="573"/>
    </row>
    <row r="65" spans="1:61" ht="13.5" thickBot="1" x14ac:dyDescent="0.25">
      <c r="A65" s="1020"/>
      <c r="B65" s="49" t="s">
        <v>68</v>
      </c>
      <c r="C65" s="50">
        <v>2.2999999999999998</v>
      </c>
      <c r="E65" s="41" t="s">
        <v>378</v>
      </c>
      <c r="F65" s="96">
        <v>0.76642335766423353</v>
      </c>
      <c r="G65" s="96">
        <v>0.23357664233576647</v>
      </c>
      <c r="I65" s="13"/>
      <c r="J65" s="574"/>
      <c r="K65" s="574"/>
      <c r="L65" s="575"/>
      <c r="M65" s="575"/>
      <c r="N65" s="575"/>
      <c r="O65" s="575"/>
      <c r="P65" s="575"/>
      <c r="Q65" s="575"/>
      <c r="R65" s="13"/>
      <c r="AZ65" s="573"/>
      <c r="BA65" s="573"/>
      <c r="BC65" s="41" t="s">
        <v>678</v>
      </c>
    </row>
    <row r="66" spans="1:61" x14ac:dyDescent="0.2">
      <c r="A66" s="1020"/>
      <c r="B66" s="120" t="s">
        <v>383</v>
      </c>
      <c r="C66" s="122">
        <f>0.9*C65</f>
        <v>2.0699999999999998</v>
      </c>
      <c r="D66" s="41" t="s">
        <v>385</v>
      </c>
      <c r="E66" s="41" t="s">
        <v>379</v>
      </c>
      <c r="F66" s="96">
        <v>0.2857142857142857</v>
      </c>
      <c r="G66" s="96">
        <v>0.7142857142857143</v>
      </c>
      <c r="I66" s="13"/>
      <c r="J66" s="574"/>
      <c r="K66" s="574"/>
      <c r="L66" s="575"/>
      <c r="M66" s="575"/>
      <c r="N66" s="575"/>
      <c r="O66" s="575"/>
      <c r="P66" s="575"/>
      <c r="Q66" s="575"/>
      <c r="R66" s="13"/>
      <c r="AS66" s="13"/>
      <c r="AT66" s="13"/>
      <c r="AU66" s="13"/>
      <c r="AV66" s="13"/>
      <c r="AZ66" s="573"/>
      <c r="BA66" s="573"/>
      <c r="BC66" s="576" t="s">
        <v>250</v>
      </c>
      <c r="BD66" s="577"/>
    </row>
    <row r="67" spans="1:61" x14ac:dyDescent="0.2">
      <c r="A67" s="1020"/>
      <c r="B67" s="49" t="s">
        <v>307</v>
      </c>
      <c r="C67" s="50">
        <v>0.7</v>
      </c>
      <c r="I67" s="13"/>
      <c r="J67" s="574"/>
      <c r="K67" s="574"/>
      <c r="L67" s="578"/>
      <c r="M67" s="575"/>
      <c r="N67" s="575"/>
      <c r="O67" s="578"/>
      <c r="P67" s="578"/>
      <c r="Q67" s="575"/>
      <c r="R67" s="13"/>
      <c r="AS67" s="13"/>
      <c r="AT67" s="13"/>
      <c r="AU67" s="13"/>
      <c r="AV67" s="13"/>
      <c r="AZ67" s="573"/>
      <c r="BA67" s="573"/>
      <c r="BC67" s="532"/>
      <c r="BD67" s="579" t="s">
        <v>228</v>
      </c>
    </row>
    <row r="68" spans="1:61" x14ac:dyDescent="0.2">
      <c r="A68" s="1020"/>
      <c r="B68" s="49" t="s">
        <v>71</v>
      </c>
      <c r="C68" s="50">
        <v>0.2</v>
      </c>
      <c r="I68" s="13"/>
      <c r="J68" s="13"/>
      <c r="K68" s="13"/>
      <c r="L68" s="13"/>
      <c r="M68" s="13"/>
      <c r="N68" s="13"/>
      <c r="O68" s="13"/>
      <c r="P68" s="13"/>
      <c r="Q68" s="13"/>
      <c r="R68" s="13"/>
      <c r="AS68" s="13"/>
      <c r="AT68" s="8"/>
      <c r="AU68" s="8"/>
      <c r="AV68" s="13"/>
      <c r="AZ68" s="573"/>
      <c r="BA68" s="573"/>
      <c r="BC68" s="580" t="s">
        <v>681</v>
      </c>
      <c r="BD68" s="581">
        <f>W141</f>
        <v>0.24</v>
      </c>
    </row>
    <row r="69" spans="1:61" x14ac:dyDescent="0.2">
      <c r="A69" s="1020"/>
      <c r="B69" s="49" t="s">
        <v>308</v>
      </c>
      <c r="C69" s="50">
        <v>0.5</v>
      </c>
      <c r="I69" s="13"/>
      <c r="J69" s="13"/>
      <c r="K69" s="13"/>
      <c r="L69" s="13"/>
      <c r="M69" s="13"/>
      <c r="N69" s="13"/>
      <c r="O69" s="13"/>
      <c r="P69" s="13"/>
      <c r="Q69" s="13"/>
      <c r="R69" s="13"/>
      <c r="AS69" s="13"/>
      <c r="AT69" s="8"/>
      <c r="AU69" s="8"/>
      <c r="AV69" s="13"/>
      <c r="AZ69" s="573"/>
      <c r="BA69" s="573"/>
      <c r="BC69" s="580" t="s">
        <v>224</v>
      </c>
      <c r="BD69" s="581">
        <f>X141</f>
        <v>0.33</v>
      </c>
    </row>
    <row r="70" spans="1:61" ht="13.5" thickBot="1" x14ac:dyDescent="0.25">
      <c r="A70" s="1020"/>
      <c r="B70" s="51" t="s">
        <v>309</v>
      </c>
      <c r="C70" s="121">
        <v>17.3</v>
      </c>
      <c r="I70" s="13"/>
      <c r="J70" s="13"/>
      <c r="K70" s="13"/>
      <c r="L70" s="13"/>
      <c r="M70" s="13"/>
      <c r="N70" s="13"/>
      <c r="O70" s="13"/>
      <c r="P70" s="13"/>
      <c r="Q70" s="13"/>
      <c r="R70" s="13"/>
      <c r="AS70" s="13"/>
      <c r="AV70" s="573"/>
      <c r="AW70" s="573"/>
      <c r="AX70" s="573"/>
      <c r="AY70" s="573"/>
      <c r="AZ70" s="573"/>
      <c r="BA70" s="573"/>
      <c r="BC70" s="582" t="s">
        <v>249</v>
      </c>
      <c r="BD70" s="581">
        <f>AA141</f>
        <v>0.4</v>
      </c>
    </row>
    <row r="71" spans="1:61" ht="13.5" thickBot="1" x14ac:dyDescent="0.25">
      <c r="A71" s="1020"/>
      <c r="AS71" s="13"/>
      <c r="AT71" s="573"/>
      <c r="AU71" s="573"/>
      <c r="AV71" s="573"/>
      <c r="AW71" s="573"/>
      <c r="AX71" s="573"/>
      <c r="AY71" s="573"/>
      <c r="AZ71" s="573"/>
      <c r="BA71" s="573"/>
      <c r="BC71" s="583" t="s">
        <v>90</v>
      </c>
      <c r="BD71" s="584">
        <f>Z141</f>
        <v>0.66</v>
      </c>
    </row>
    <row r="72" spans="1:61" ht="65.25" thickBot="1" x14ac:dyDescent="0.25">
      <c r="A72" s="1020"/>
      <c r="B72" s="52" t="s">
        <v>310</v>
      </c>
      <c r="C72" s="48">
        <v>1</v>
      </c>
      <c r="D72" s="1019" t="s">
        <v>311</v>
      </c>
      <c r="E72" s="1019"/>
      <c r="F72" s="1019"/>
      <c r="G72" s="1019"/>
      <c r="H72" s="1019"/>
    </row>
    <row r="73" spans="1:61" ht="13.5" thickBot="1" x14ac:dyDescent="0.25">
      <c r="A73" s="1020"/>
      <c r="B73" s="53"/>
      <c r="C73" s="53"/>
      <c r="D73" s="1019"/>
      <c r="E73" s="1019"/>
      <c r="F73" s="1019"/>
      <c r="G73" s="1019"/>
      <c r="H73" s="1019"/>
      <c r="AB73" s="519" t="s">
        <v>508</v>
      </c>
      <c r="AJ73" s="178" t="s">
        <v>608</v>
      </c>
      <c r="AK73" s="178" t="s">
        <v>613</v>
      </c>
      <c r="AT73" s="94" t="s">
        <v>641</v>
      </c>
      <c r="AV73" s="178" t="s">
        <v>613</v>
      </c>
      <c r="BC73" s="178" t="s">
        <v>644</v>
      </c>
      <c r="BD73" s="178" t="s">
        <v>613</v>
      </c>
      <c r="BF73" s="94" t="s">
        <v>647</v>
      </c>
    </row>
    <row r="74" spans="1:61" s="127" customFormat="1" x14ac:dyDescent="0.2">
      <c r="A74" s="1020"/>
      <c r="B74" s="100" t="s">
        <v>318</v>
      </c>
      <c r="C74" s="58"/>
      <c r="D74" s="59"/>
      <c r="E74" s="59"/>
      <c r="F74" s="59"/>
      <c r="G74" s="59"/>
      <c r="H74" s="59"/>
      <c r="I74" s="453"/>
      <c r="J74" s="453"/>
      <c r="K74" s="453"/>
      <c r="L74" s="453"/>
      <c r="M74" s="453"/>
      <c r="N74" s="453"/>
      <c r="O74" s="453"/>
      <c r="P74" s="453"/>
      <c r="Q74" s="585"/>
      <c r="R74" s="585"/>
      <c r="S74" s="585"/>
      <c r="T74" s="585"/>
      <c r="U74" s="585"/>
      <c r="V74" s="585"/>
      <c r="W74" s="585"/>
      <c r="X74" s="585"/>
      <c r="Y74" s="585"/>
      <c r="Z74" s="585"/>
      <c r="AA74" s="585"/>
      <c r="AB74" s="519"/>
      <c r="AJ74" s="41"/>
      <c r="AK74" s="997" t="s">
        <v>609</v>
      </c>
      <c r="AL74" s="998"/>
      <c r="AM74" s="527"/>
      <c r="AN74" s="999" t="s">
        <v>578</v>
      </c>
      <c r="AO74" s="1000"/>
      <c r="AP74" s="586"/>
      <c r="AQ74" s="527"/>
      <c r="AR74" s="531"/>
      <c r="AT74" s="587" t="s">
        <v>576</v>
      </c>
      <c r="AU74" s="789">
        <v>0.4</v>
      </c>
      <c r="AV74" s="997" t="s">
        <v>609</v>
      </c>
      <c r="AW74" s="998"/>
      <c r="AX74" s="527"/>
      <c r="AY74" s="999" t="s">
        <v>578</v>
      </c>
      <c r="AZ74" s="1000"/>
      <c r="BA74" s="531"/>
      <c r="BC74" s="41"/>
      <c r="BD74" s="997" t="s">
        <v>609</v>
      </c>
      <c r="BE74" s="998"/>
      <c r="BF74" s="1010" t="s">
        <v>648</v>
      </c>
      <c r="BG74" s="999" t="s">
        <v>578</v>
      </c>
      <c r="BH74" s="1000"/>
      <c r="BI74" s="1010" t="s">
        <v>648</v>
      </c>
    </row>
    <row r="75" spans="1:61" ht="12.75" customHeight="1" x14ac:dyDescent="0.2">
      <c r="A75" s="1020"/>
      <c r="B75" s="53"/>
      <c r="C75" s="53"/>
      <c r="D75" s="338"/>
      <c r="E75" s="338"/>
      <c r="F75" s="338"/>
      <c r="G75" s="338"/>
      <c r="H75" s="338"/>
      <c r="Q75" s="585"/>
      <c r="R75" s="588" t="s">
        <v>755</v>
      </c>
      <c r="S75" s="585"/>
      <c r="T75" s="585"/>
      <c r="U75" s="585"/>
      <c r="V75" s="585"/>
      <c r="W75" s="585"/>
      <c r="X75" s="585"/>
      <c r="Y75" s="585"/>
      <c r="Z75" s="585"/>
      <c r="AA75" s="585"/>
      <c r="AB75" s="519"/>
      <c r="AJ75" s="589"/>
      <c r="AK75" s="590" t="s">
        <v>611</v>
      </c>
      <c r="AL75" s="591" t="s">
        <v>610</v>
      </c>
      <c r="AM75" s="538" t="s">
        <v>612</v>
      </c>
      <c r="AN75" s="590" t="s">
        <v>611</v>
      </c>
      <c r="AO75" s="479" t="s">
        <v>610</v>
      </c>
      <c r="AP75" s="479"/>
      <c r="AQ75" s="592"/>
      <c r="AR75" s="558" t="s">
        <v>612</v>
      </c>
      <c r="AT75" s="1003" t="s">
        <v>643</v>
      </c>
      <c r="AU75" s="1004"/>
      <c r="AV75" s="590" t="s">
        <v>611</v>
      </c>
      <c r="AW75" s="591" t="s">
        <v>610</v>
      </c>
      <c r="AX75" s="538" t="s">
        <v>612</v>
      </c>
      <c r="AY75" s="590" t="s">
        <v>611</v>
      </c>
      <c r="AZ75" s="479" t="s">
        <v>610</v>
      </c>
      <c r="BA75" s="558" t="s">
        <v>612</v>
      </c>
      <c r="BB75" s="127"/>
      <c r="BC75" s="589"/>
      <c r="BD75" s="590" t="s">
        <v>611</v>
      </c>
      <c r="BE75" s="591" t="s">
        <v>610</v>
      </c>
      <c r="BF75" s="1011"/>
      <c r="BG75" s="590" t="s">
        <v>611</v>
      </c>
      <c r="BH75" s="479" t="s">
        <v>610</v>
      </c>
      <c r="BI75" s="1011"/>
    </row>
    <row r="76" spans="1:61" ht="15.75" x14ac:dyDescent="0.25">
      <c r="A76" s="1020"/>
      <c r="B76" s="571" t="s">
        <v>298</v>
      </c>
      <c r="C76" s="53"/>
      <c r="D76" s="338"/>
      <c r="E76" s="338"/>
      <c r="F76" s="338"/>
      <c r="G76" s="338"/>
      <c r="H76" s="338"/>
      <c r="Q76" s="585"/>
      <c r="R76" s="585"/>
      <c r="S76" s="1044" t="s">
        <v>518</v>
      </c>
      <c r="T76" s="1045"/>
      <c r="U76" s="585"/>
      <c r="V76" s="585"/>
      <c r="W76" s="585"/>
      <c r="X76" s="585"/>
      <c r="Y76" s="585"/>
      <c r="Z76" s="585"/>
      <c r="AA76" s="585"/>
      <c r="AB76" s="519"/>
      <c r="AJ76" s="503" t="s">
        <v>66</v>
      </c>
      <c r="AK76" s="593"/>
      <c r="AL76" s="594" t="s">
        <v>625</v>
      </c>
      <c r="AM76" s="595"/>
      <c r="AN76" s="596"/>
      <c r="AO76" s="479" t="s">
        <v>625</v>
      </c>
      <c r="AP76" s="479"/>
      <c r="AQ76" s="592"/>
      <c r="AR76" s="536"/>
      <c r="AT76" s="1005"/>
      <c r="AU76" s="1006"/>
      <c r="AV76" s="596"/>
      <c r="AW76" s="591" t="s">
        <v>625</v>
      </c>
      <c r="AX76" s="479"/>
      <c r="AY76" s="596"/>
      <c r="AZ76" s="479" t="s">
        <v>625</v>
      </c>
      <c r="BA76" s="536"/>
      <c r="BB76" s="127"/>
      <c r="BC76" s="503" t="s">
        <v>66</v>
      </c>
      <c r="BD76" s="593"/>
      <c r="BE76" s="594" t="s">
        <v>625</v>
      </c>
      <c r="BF76" s="1012"/>
      <c r="BG76" s="596"/>
      <c r="BH76" s="479" t="s">
        <v>625</v>
      </c>
      <c r="BI76" s="1012"/>
    </row>
    <row r="77" spans="1:61" ht="25.5" customHeight="1" x14ac:dyDescent="0.2">
      <c r="A77" s="1020"/>
      <c r="B77" s="53" t="s">
        <v>319</v>
      </c>
      <c r="C77" s="53"/>
      <c r="D77" s="338"/>
      <c r="E77" s="338"/>
      <c r="F77" s="338"/>
      <c r="G77" s="338"/>
      <c r="H77" s="338"/>
      <c r="Q77" s="585"/>
      <c r="R77" s="597" t="str">
        <f>INDEX(Texte,105,Fischzuchtanlage!$N$2)</f>
        <v>a) Lamellenklärer / Filterpresse oder ähnliches</v>
      </c>
      <c r="S77" s="1046" t="str">
        <f>INDEX(Texte,106,Fischzuchtanlage!$N$2)</f>
        <v>Die Feststoffe werden aus dem Zuchtbecken laufend entfernt (Bandfilter, Trommel/Scheibenfilter) und sofort mit einem Lamellenklärer , Filterpresse oder änlichem entwässert.</v>
      </c>
      <c r="T77" s="1047"/>
      <c r="U77" s="794"/>
      <c r="V77" s="794"/>
      <c r="W77" s="794"/>
      <c r="X77" s="794"/>
      <c r="Y77" s="794"/>
      <c r="Z77" s="794"/>
      <c r="AA77" s="795"/>
      <c r="AB77" s="486">
        <v>1</v>
      </c>
      <c r="AJ77" s="503" t="s">
        <v>629</v>
      </c>
      <c r="AK77" s="598">
        <f>AK31</f>
        <v>0</v>
      </c>
      <c r="AL77" s="509">
        <f>AK47</f>
        <v>0</v>
      </c>
      <c r="AM77" s="599">
        <f>AK77+AL77</f>
        <v>0</v>
      </c>
      <c r="AN77" s="559">
        <f>AN31</f>
        <v>0</v>
      </c>
      <c r="AO77" s="509">
        <f>AN47</f>
        <v>0</v>
      </c>
      <c r="AP77" s="509"/>
      <c r="AQ77" s="509"/>
      <c r="AR77" s="600">
        <f>AN77+AO77</f>
        <v>0</v>
      </c>
      <c r="AT77" s="1007"/>
      <c r="AU77" s="1008"/>
      <c r="AV77" s="507"/>
      <c r="AW77" s="507"/>
      <c r="AX77" s="507"/>
      <c r="AY77" s="507"/>
      <c r="AZ77" s="507"/>
      <c r="BA77" s="601"/>
      <c r="BB77" s="127"/>
      <c r="BC77" s="503" t="s">
        <v>629</v>
      </c>
      <c r="BD77" s="598">
        <f>AK31</f>
        <v>0</v>
      </c>
      <c r="BE77" s="509">
        <f>AZ47</f>
        <v>0</v>
      </c>
      <c r="BF77" s="599">
        <f>(BD77+BE77)*(1-BD70)</f>
        <v>0</v>
      </c>
      <c r="BG77" s="559">
        <f>AN31</f>
        <v>0</v>
      </c>
      <c r="BH77" s="509">
        <f>BC47</f>
        <v>0</v>
      </c>
      <c r="BI77" s="600">
        <f>(BG77+BH77)*(1-BD70)</f>
        <v>0</v>
      </c>
    </row>
    <row r="78" spans="1:61" ht="25.5" customHeight="1" x14ac:dyDescent="0.2">
      <c r="A78" s="1020"/>
      <c r="B78" s="9" t="s">
        <v>312</v>
      </c>
      <c r="D78" s="54"/>
      <c r="E78" s="54"/>
      <c r="Q78" s="585"/>
      <c r="R78" s="597" t="str">
        <f>INDEX(Texte,107,Fischzuchtanlage!$N$2)</f>
        <v>b) keine sofortige Entwässerung</v>
      </c>
      <c r="S78" s="1048" t="str">
        <f>INDEX(Texte,108,Fischzuchtanlage!$N$2)</f>
        <v>Werden die Feststoffe nicht abgetrennt und entwässert, erfolgt eine Rücklösung von Stoffen welche das Abwasser zusätzlich belasten. Es werden 30% bis 40% der Stoffe wieder freigesetzt.</v>
      </c>
      <c r="T78" s="1049"/>
      <c r="U78" s="794"/>
      <c r="V78" s="794"/>
      <c r="W78" s="794"/>
      <c r="X78" s="794"/>
      <c r="Y78" s="794"/>
      <c r="Z78" s="794"/>
      <c r="AA78" s="795"/>
      <c r="AB78" s="486">
        <v>2</v>
      </c>
      <c r="AJ78" s="503" t="s">
        <v>68</v>
      </c>
      <c r="AK78" s="598">
        <f>AK32</f>
        <v>0</v>
      </c>
      <c r="AL78" s="509">
        <f>AK48</f>
        <v>0</v>
      </c>
      <c r="AM78" s="599">
        <f t="shared" ref="AM78:AM80" si="3">AK78+AL78</f>
        <v>0</v>
      </c>
      <c r="AN78" s="559">
        <f>AN32</f>
        <v>0</v>
      </c>
      <c r="AO78" s="509">
        <f>AN48</f>
        <v>0</v>
      </c>
      <c r="AP78" s="509"/>
      <c r="AQ78" s="509"/>
      <c r="AR78" s="600">
        <f t="shared" ref="AR78:AR80" si="4">AN78+AO78</f>
        <v>0</v>
      </c>
      <c r="AT78" s="1029" t="s">
        <v>969</v>
      </c>
      <c r="AU78" s="1030"/>
      <c r="AV78" s="787">
        <f>AK31-($T$224*$AK$102/1000)</f>
        <v>0</v>
      </c>
      <c r="AW78" s="788" t="s">
        <v>968</v>
      </c>
      <c r="AX78" s="787">
        <f>AV78*$AW$86</f>
        <v>0</v>
      </c>
      <c r="AY78" s="787">
        <f>AN31-($T$224*$AK$102/1000)</f>
        <v>0</v>
      </c>
      <c r="AZ78" s="788" t="s">
        <v>968</v>
      </c>
      <c r="BA78" s="787">
        <f>AY78*$AW$86</f>
        <v>0</v>
      </c>
      <c r="BB78" s="127"/>
      <c r="BC78" s="503" t="s">
        <v>68</v>
      </c>
      <c r="BD78" s="598">
        <f>AK32</f>
        <v>0</v>
      </c>
      <c r="BE78" s="509">
        <f>AZ48</f>
        <v>0</v>
      </c>
      <c r="BF78" s="599">
        <f>(BD78+BE78)</f>
        <v>0</v>
      </c>
      <c r="BG78" s="559">
        <f>AN32</f>
        <v>0</v>
      </c>
      <c r="BH78" s="509">
        <f>BC48</f>
        <v>0</v>
      </c>
      <c r="BI78" s="600">
        <f>(BG78+BH78)</f>
        <v>0</v>
      </c>
    </row>
    <row r="79" spans="1:61" ht="13.5" thickBot="1" x14ac:dyDescent="0.25">
      <c r="A79" s="1020"/>
      <c r="B79" s="10" t="s">
        <v>313</v>
      </c>
      <c r="D79" s="602" t="s">
        <v>679</v>
      </c>
      <c r="Q79" s="585"/>
      <c r="R79" s="585"/>
      <c r="S79" s="585"/>
      <c r="T79" s="585"/>
      <c r="U79" s="585"/>
      <c r="V79" s="585"/>
      <c r="W79" s="585"/>
      <c r="X79" s="585"/>
      <c r="Y79" s="585"/>
      <c r="Z79" s="585"/>
      <c r="AA79" s="585"/>
      <c r="AB79" s="519"/>
      <c r="AJ79" s="503" t="s">
        <v>421</v>
      </c>
      <c r="AK79" s="598">
        <f>AK33</f>
        <v>0</v>
      </c>
      <c r="AL79" s="509">
        <f>AK49</f>
        <v>0</v>
      </c>
      <c r="AM79" s="599">
        <f t="shared" si="3"/>
        <v>0</v>
      </c>
      <c r="AN79" s="559">
        <f>AN33</f>
        <v>0</v>
      </c>
      <c r="AO79" s="509">
        <f>AN49</f>
        <v>0</v>
      </c>
      <c r="AP79" s="509"/>
      <c r="AQ79" s="509"/>
      <c r="AR79" s="600">
        <f t="shared" si="4"/>
        <v>0</v>
      </c>
      <c r="AT79" s="1001" t="s">
        <v>378</v>
      </c>
      <c r="AU79" s="1002"/>
      <c r="AV79" s="509">
        <f>AK32</f>
        <v>0</v>
      </c>
      <c r="AW79" s="509">
        <f>AS51</f>
        <v>0</v>
      </c>
      <c r="AX79" s="603">
        <f>AV79+AW79</f>
        <v>0</v>
      </c>
      <c r="AY79" s="509">
        <f>AN32</f>
        <v>0</v>
      </c>
      <c r="AZ79" s="509">
        <f>AV51</f>
        <v>0</v>
      </c>
      <c r="BA79" s="600">
        <f>AY79+AZ79</f>
        <v>0</v>
      </c>
      <c r="BB79" s="127"/>
      <c r="BC79" s="503" t="s">
        <v>421</v>
      </c>
      <c r="BD79" s="604"/>
      <c r="BE79" s="554"/>
      <c r="BF79" s="605"/>
      <c r="BG79" s="606"/>
      <c r="BH79" s="554"/>
      <c r="BI79" s="607"/>
    </row>
    <row r="80" spans="1:61" ht="13.5" thickBot="1" x14ac:dyDescent="0.25">
      <c r="A80" s="1020"/>
      <c r="B80" s="47" t="s">
        <v>305</v>
      </c>
      <c r="C80" s="115" t="s">
        <v>67</v>
      </c>
      <c r="D80" s="119" t="s">
        <v>382</v>
      </c>
      <c r="E80" s="5"/>
      <c r="G80" s="5"/>
      <c r="H80" s="5"/>
      <c r="AJ80" s="503" t="s">
        <v>71</v>
      </c>
      <c r="AK80" s="598">
        <f>AK34</f>
        <v>0</v>
      </c>
      <c r="AL80" s="509">
        <f>AK50</f>
        <v>0</v>
      </c>
      <c r="AM80" s="599">
        <f t="shared" si="3"/>
        <v>0</v>
      </c>
      <c r="AN80" s="559">
        <f>AN34</f>
        <v>0</v>
      </c>
      <c r="AO80" s="509">
        <f>AN50</f>
        <v>0</v>
      </c>
      <c r="AP80" s="509"/>
      <c r="AQ80" s="509"/>
      <c r="AR80" s="600">
        <f t="shared" si="4"/>
        <v>0</v>
      </c>
      <c r="AT80" s="1001" t="s">
        <v>661</v>
      </c>
      <c r="AU80" s="1002"/>
      <c r="AV80" s="509">
        <f>AV79*$AU$74</f>
        <v>0</v>
      </c>
      <c r="AW80" s="509">
        <f>AW79*$AU$74</f>
        <v>0</v>
      </c>
      <c r="AX80" s="603">
        <f>AV80+AW80</f>
        <v>0</v>
      </c>
      <c r="AY80" s="509">
        <f>AY79*$AU$74</f>
        <v>0</v>
      </c>
      <c r="AZ80" s="509">
        <f>AZ79*$AU$74</f>
        <v>0</v>
      </c>
      <c r="BA80" s="600">
        <f>AY80+AZ80</f>
        <v>0</v>
      </c>
      <c r="BB80" s="127"/>
      <c r="BC80" s="503" t="s">
        <v>71</v>
      </c>
      <c r="BD80" s="598">
        <f>AK34</f>
        <v>0</v>
      </c>
      <c r="BE80" s="509">
        <f>AZ50</f>
        <v>0</v>
      </c>
      <c r="BF80" s="599">
        <f>(BD80+BE80)*(1-BD69)</f>
        <v>0</v>
      </c>
      <c r="BG80" s="559">
        <f>AN34</f>
        <v>0</v>
      </c>
      <c r="BH80" s="509">
        <f>BC50</f>
        <v>0</v>
      </c>
      <c r="BI80" s="600">
        <f>(BG80+BH80)*(1-BD69)</f>
        <v>0</v>
      </c>
    </row>
    <row r="81" spans="1:61" x14ac:dyDescent="0.2">
      <c r="A81" s="1020"/>
      <c r="B81" s="55" t="s">
        <v>255</v>
      </c>
      <c r="C81" s="116">
        <f>C70*D81</f>
        <v>6.0549999999999997</v>
      </c>
      <c r="D81" s="119">
        <v>0.35</v>
      </c>
      <c r="E81" s="96"/>
      <c r="G81" s="92"/>
      <c r="H81" s="92"/>
      <c r="AJ81" s="608" t="s">
        <v>308</v>
      </c>
      <c r="AK81" s="994" t="s">
        <v>631</v>
      </c>
      <c r="AL81" s="995"/>
      <c r="AM81" s="599" t="e">
        <f>IF(AT26=1,(AM82/AL35*AL34)-AL80,AM82/AL35*AL34)</f>
        <v>#DIV/0!</v>
      </c>
      <c r="AN81" s="994" t="s">
        <v>631</v>
      </c>
      <c r="AO81" s="1009"/>
      <c r="AP81" s="1009"/>
      <c r="AQ81" s="995"/>
      <c r="AR81" s="600" t="e">
        <f>IF(AT26=1,AR82/AO35*AO34-AO80,AR82/AO35*AO34)</f>
        <v>#DIV/0!</v>
      </c>
      <c r="AT81" s="1001"/>
      <c r="AU81" s="1002"/>
      <c r="AV81" s="554"/>
      <c r="AW81" s="554"/>
      <c r="AX81" s="554"/>
      <c r="AY81" s="554"/>
      <c r="AZ81" s="609"/>
      <c r="BA81" s="610"/>
      <c r="BC81" s="608"/>
      <c r="BD81" s="994"/>
      <c r="BE81" s="995"/>
      <c r="BF81" s="605"/>
      <c r="BG81" s="994"/>
      <c r="BH81" s="1009"/>
      <c r="BI81" s="607"/>
    </row>
    <row r="82" spans="1:61" ht="13.5" thickBot="1" x14ac:dyDescent="0.25">
      <c r="A82" s="1020"/>
      <c r="B82" s="49" t="s">
        <v>68</v>
      </c>
      <c r="C82" s="117">
        <f>C67*D82</f>
        <v>0.161</v>
      </c>
      <c r="D82" s="119">
        <v>0.23</v>
      </c>
      <c r="E82" s="96"/>
      <c r="G82" s="92"/>
      <c r="H82" s="92"/>
      <c r="AJ82" s="503" t="s">
        <v>637</v>
      </c>
      <c r="AK82" s="611">
        <f>AL35*(1-AV35)</f>
        <v>0</v>
      </c>
      <c r="AL82" s="612">
        <f>IF(AT26=1,AL35-AK82,0)</f>
        <v>0</v>
      </c>
      <c r="AM82" s="613">
        <f>AK82+AL82</f>
        <v>0</v>
      </c>
      <c r="AN82" s="614">
        <f>AO35*(1-AV35)</f>
        <v>0</v>
      </c>
      <c r="AO82" s="612">
        <f>IF(AT26=1,AO35-AN82,0)</f>
        <v>0</v>
      </c>
      <c r="AP82" s="612"/>
      <c r="AQ82" s="567"/>
      <c r="AR82" s="615">
        <f>AN82+AO82</f>
        <v>0</v>
      </c>
      <c r="AT82" s="1027" t="s">
        <v>71</v>
      </c>
      <c r="AU82" s="1028"/>
      <c r="AV82" s="612">
        <f>AK34-AX78</f>
        <v>0</v>
      </c>
      <c r="AW82" s="567">
        <f>AS50</f>
        <v>0</v>
      </c>
      <c r="AX82" s="616">
        <f>AV82+AW82</f>
        <v>0</v>
      </c>
      <c r="AY82" s="612">
        <f>AN34-BA78</f>
        <v>0</v>
      </c>
      <c r="AZ82" s="567">
        <f>AV50</f>
        <v>0</v>
      </c>
      <c r="BA82" s="615">
        <f>AY82+AZ82</f>
        <v>0</v>
      </c>
      <c r="BC82" s="503" t="s">
        <v>637</v>
      </c>
      <c r="BD82" s="617"/>
      <c r="BE82" s="612"/>
      <c r="BF82" s="613"/>
      <c r="BG82" s="614"/>
      <c r="BH82" s="612"/>
      <c r="BI82" s="615"/>
    </row>
    <row r="83" spans="1:61" x14ac:dyDescent="0.2">
      <c r="A83" s="1020"/>
      <c r="B83" s="101" t="s">
        <v>386</v>
      </c>
      <c r="C83" s="618">
        <f>0.9*C82</f>
        <v>0.1449</v>
      </c>
      <c r="D83" s="119"/>
      <c r="E83" s="96"/>
      <c r="G83" s="92"/>
      <c r="H83" s="92"/>
      <c r="AJ83" s="41" t="s">
        <v>627</v>
      </c>
      <c r="AT83" s="41" t="s">
        <v>575</v>
      </c>
    </row>
    <row r="84" spans="1:61" ht="13.5" thickBot="1" x14ac:dyDescent="0.25">
      <c r="A84" s="1020"/>
      <c r="B84" s="56" t="s">
        <v>71</v>
      </c>
      <c r="C84" s="118">
        <f>C69*D84</f>
        <v>0.20499999999999999</v>
      </c>
      <c r="D84" s="119">
        <v>0.41</v>
      </c>
      <c r="E84" s="96"/>
      <c r="G84" s="92"/>
      <c r="H84" s="92"/>
      <c r="AJ84" s="41" t="s">
        <v>628</v>
      </c>
      <c r="AT84" s="41" t="s">
        <v>1016</v>
      </c>
      <c r="BC84" s="13" t="s">
        <v>649</v>
      </c>
    </row>
    <row r="85" spans="1:61" x14ac:dyDescent="0.2">
      <c r="A85" s="1020"/>
      <c r="AJ85" s="41" t="s">
        <v>626</v>
      </c>
      <c r="AT85" s="41" t="s">
        <v>1017</v>
      </c>
    </row>
    <row r="86" spans="1:61" x14ac:dyDescent="0.2">
      <c r="A86" s="1020"/>
      <c r="B86" s="9" t="s">
        <v>314</v>
      </c>
      <c r="AJ86" s="41" t="s">
        <v>630</v>
      </c>
      <c r="AT86" s="41" t="s">
        <v>1018</v>
      </c>
      <c r="AW86" s="790">
        <v>1.4999999999999999E-2</v>
      </c>
    </row>
    <row r="87" spans="1:61" ht="13.5" thickBot="1" x14ac:dyDescent="0.25">
      <c r="A87" s="1020"/>
      <c r="B87" s="10" t="s">
        <v>313</v>
      </c>
    </row>
    <row r="88" spans="1:61" ht="13.5" thickBot="1" x14ac:dyDescent="0.25">
      <c r="A88" s="1020"/>
      <c r="B88" s="47" t="s">
        <v>305</v>
      </c>
      <c r="C88" s="48" t="s">
        <v>67</v>
      </c>
      <c r="AJ88" s="41" t="s">
        <v>396</v>
      </c>
      <c r="AK88" s="41" t="s">
        <v>609</v>
      </c>
      <c r="AN88" s="41" t="s">
        <v>729</v>
      </c>
      <c r="AT88" s="41" t="s">
        <v>396</v>
      </c>
      <c r="AU88" s="41" t="s">
        <v>609</v>
      </c>
      <c r="AW88" s="41" t="s">
        <v>666</v>
      </c>
      <c r="AX88" s="41" t="s">
        <v>729</v>
      </c>
    </row>
    <row r="89" spans="1:61" x14ac:dyDescent="0.2">
      <c r="A89" s="1020"/>
      <c r="B89" s="55" t="s">
        <v>315</v>
      </c>
      <c r="C89" s="97">
        <f>C70-C81</f>
        <v>11.245000000000001</v>
      </c>
      <c r="AJ89" s="526" t="s">
        <v>636</v>
      </c>
      <c r="AK89" s="619" t="s">
        <v>381</v>
      </c>
      <c r="AL89" s="619" t="s">
        <v>470</v>
      </c>
      <c r="AM89" s="620" t="s">
        <v>552</v>
      </c>
      <c r="AN89" s="621" t="s">
        <v>381</v>
      </c>
      <c r="AO89" s="619" t="s">
        <v>470</v>
      </c>
      <c r="AP89" s="620" t="s">
        <v>552</v>
      </c>
      <c r="AQ89" s="14"/>
      <c r="AT89" s="526" t="s">
        <v>636</v>
      </c>
      <c r="AU89" s="619" t="s">
        <v>381</v>
      </c>
      <c r="AV89" s="619" t="s">
        <v>470</v>
      </c>
      <c r="AW89" s="620" t="s">
        <v>552</v>
      </c>
      <c r="AX89" s="621" t="s">
        <v>381</v>
      </c>
      <c r="AY89" s="619" t="s">
        <v>470</v>
      </c>
      <c r="AZ89" s="620" t="s">
        <v>552</v>
      </c>
      <c r="BC89" s="526" t="s">
        <v>636</v>
      </c>
      <c r="BD89" s="619" t="s">
        <v>381</v>
      </c>
      <c r="BE89" s="619" t="s">
        <v>470</v>
      </c>
      <c r="BF89" s="620" t="s">
        <v>552</v>
      </c>
    </row>
    <row r="90" spans="1:61" x14ac:dyDescent="0.2">
      <c r="A90" s="1020"/>
      <c r="B90" s="49" t="s">
        <v>70</v>
      </c>
      <c r="C90" s="98">
        <f>C67-C82</f>
        <v>0.53899999999999992</v>
      </c>
      <c r="AJ90" s="49" t="s">
        <v>632</v>
      </c>
      <c r="AK90" s="622">
        <f>AM77</f>
        <v>0</v>
      </c>
      <c r="AL90" s="622">
        <f>AM80</f>
        <v>0</v>
      </c>
      <c r="AM90" s="623">
        <f>AM78</f>
        <v>0</v>
      </c>
      <c r="AN90" s="624">
        <f>AR77</f>
        <v>0</v>
      </c>
      <c r="AO90" s="622">
        <f>AR80</f>
        <v>0</v>
      </c>
      <c r="AP90" s="623">
        <f>AR78</f>
        <v>0</v>
      </c>
      <c r="AQ90" s="18"/>
      <c r="AT90" s="49" t="s">
        <v>670</v>
      </c>
      <c r="AU90" s="622"/>
      <c r="AV90" s="622">
        <f>AX82</f>
        <v>0</v>
      </c>
      <c r="AW90" s="623">
        <f>AX79</f>
        <v>0</v>
      </c>
      <c r="AX90" s="624"/>
      <c r="AY90" s="622">
        <f>BA82</f>
        <v>0</v>
      </c>
      <c r="AZ90" s="623">
        <f>BA79</f>
        <v>0</v>
      </c>
      <c r="BC90" s="49" t="s">
        <v>632</v>
      </c>
      <c r="BD90" s="625">
        <f>BD77+BE77</f>
        <v>0</v>
      </c>
      <c r="BE90" s="625">
        <f>BD80+BE80</f>
        <v>0</v>
      </c>
      <c r="BF90" s="626">
        <f>BD78+BE78</f>
        <v>0</v>
      </c>
    </row>
    <row r="91" spans="1:61" ht="13.5" thickBot="1" x14ac:dyDescent="0.25">
      <c r="A91" s="1020"/>
      <c r="B91" s="56" t="s">
        <v>72</v>
      </c>
      <c r="C91" s="99">
        <f>C69-C84</f>
        <v>0.29500000000000004</v>
      </c>
      <c r="AJ91" s="49" t="s">
        <v>633</v>
      </c>
      <c r="AK91" s="622" t="e">
        <f>AK82/AL35*AL31</f>
        <v>#DIV/0!</v>
      </c>
      <c r="AL91" s="622" t="e">
        <f>AK82/AL35*AL34</f>
        <v>#DIV/0!</v>
      </c>
      <c r="AM91" s="623" t="e">
        <f>AK82/AL35*AL32</f>
        <v>#DIV/0!</v>
      </c>
      <c r="AN91" s="624" t="e">
        <f>AN82/AO35*AO31</f>
        <v>#DIV/0!</v>
      </c>
      <c r="AO91" s="622" t="e">
        <f>AN82/AO35*AO34</f>
        <v>#DIV/0!</v>
      </c>
      <c r="AP91" s="623" t="e">
        <f>AN82/AO35*AO32</f>
        <v>#DIV/0!</v>
      </c>
      <c r="AQ91" s="18"/>
      <c r="AT91" s="49" t="s">
        <v>663</v>
      </c>
      <c r="AU91" s="622"/>
      <c r="AV91" s="622">
        <f>AL34*(1-AS44)</f>
        <v>0</v>
      </c>
      <c r="AW91" s="623">
        <f>AL32*(1-AS44)</f>
        <v>0</v>
      </c>
      <c r="AX91" s="624"/>
      <c r="AY91" s="622">
        <f>AO34*(1-AS44)</f>
        <v>0</v>
      </c>
      <c r="AZ91" s="623">
        <f>AO32*(1-AS44)</f>
        <v>0</v>
      </c>
      <c r="BC91" s="49" t="s">
        <v>633</v>
      </c>
      <c r="BD91" s="625"/>
      <c r="BE91" s="625"/>
      <c r="BF91" s="626"/>
    </row>
    <row r="92" spans="1:61" s="127" customFormat="1" x14ac:dyDescent="0.2">
      <c r="A92" s="1020"/>
      <c r="AJ92" s="120" t="s">
        <v>638</v>
      </c>
      <c r="AK92" s="622">
        <f>AL47</f>
        <v>0</v>
      </c>
      <c r="AL92" s="622">
        <f>AL50</f>
        <v>0</v>
      </c>
      <c r="AM92" s="623">
        <f>AL48</f>
        <v>0</v>
      </c>
      <c r="AN92" s="624">
        <f>AO47</f>
        <v>0</v>
      </c>
      <c r="AO92" s="622">
        <f>AO50</f>
        <v>0</v>
      </c>
      <c r="AP92" s="623">
        <f>AO48</f>
        <v>0</v>
      </c>
      <c r="AQ92" s="18"/>
      <c r="AT92" s="120" t="s">
        <v>662</v>
      </c>
      <c r="AU92" s="622"/>
      <c r="AV92" s="622">
        <f>AT50</f>
        <v>0</v>
      </c>
      <c r="AW92" s="623">
        <f>AT51</f>
        <v>0</v>
      </c>
      <c r="AX92" s="624"/>
      <c r="AY92" s="622">
        <f>AW50</f>
        <v>0</v>
      </c>
      <c r="AZ92" s="623">
        <f>AW51</f>
        <v>0</v>
      </c>
      <c r="BC92" s="120" t="s">
        <v>638</v>
      </c>
      <c r="BD92" s="18">
        <f>BA47</f>
        <v>0</v>
      </c>
      <c r="BE92" s="18">
        <f>BA50</f>
        <v>0</v>
      </c>
      <c r="BF92" s="627">
        <f>BA48</f>
        <v>0</v>
      </c>
    </row>
    <row r="93" spans="1:61" s="127" customFormat="1" x14ac:dyDescent="0.2">
      <c r="A93" s="525"/>
      <c r="B93" s="525"/>
      <c r="C93" s="525"/>
      <c r="D93" s="525"/>
      <c r="E93" s="525"/>
      <c r="F93" s="525"/>
      <c r="G93" s="525"/>
      <c r="H93" s="525"/>
      <c r="I93" s="525"/>
      <c r="J93" s="525"/>
      <c r="K93" s="525"/>
      <c r="L93" s="525"/>
      <c r="M93" s="525"/>
      <c r="N93" s="525"/>
      <c r="O93" s="525"/>
      <c r="P93" s="525"/>
      <c r="AJ93" s="628" t="s">
        <v>635</v>
      </c>
      <c r="AK93" s="629" t="e">
        <f t="shared" ref="AK93:AP93" si="5">SUM(AK90:AK92)</f>
        <v>#DIV/0!</v>
      </c>
      <c r="AL93" s="629" t="e">
        <f t="shared" si="5"/>
        <v>#DIV/0!</v>
      </c>
      <c r="AM93" s="630" t="e">
        <f t="shared" si="5"/>
        <v>#DIV/0!</v>
      </c>
      <c r="AN93" s="631" t="e">
        <f t="shared" si="5"/>
        <v>#DIV/0!</v>
      </c>
      <c r="AO93" s="629" t="e">
        <f t="shared" si="5"/>
        <v>#DIV/0!</v>
      </c>
      <c r="AP93" s="630" t="e">
        <f t="shared" si="5"/>
        <v>#DIV/0!</v>
      </c>
      <c r="AQ93" s="629"/>
      <c r="AT93" s="628" t="s">
        <v>635</v>
      </c>
      <c r="AU93" s="629">
        <f t="shared" ref="AU93:AZ93" si="6">SUM(AU90:AU92)</f>
        <v>0</v>
      </c>
      <c r="AV93" s="629">
        <f t="shared" si="6"/>
        <v>0</v>
      </c>
      <c r="AW93" s="630">
        <f t="shared" si="6"/>
        <v>0</v>
      </c>
      <c r="AX93" s="631">
        <f t="shared" si="6"/>
        <v>0</v>
      </c>
      <c r="AY93" s="629">
        <f t="shared" si="6"/>
        <v>0</v>
      </c>
      <c r="AZ93" s="630">
        <f t="shared" si="6"/>
        <v>0</v>
      </c>
      <c r="BC93" s="628" t="s">
        <v>635</v>
      </c>
      <c r="BD93" s="629">
        <f>SUM(BD90:BD92)</f>
        <v>0</v>
      </c>
      <c r="BE93" s="629">
        <f>SUM(BE90:BE92)</f>
        <v>0</v>
      </c>
      <c r="BF93" s="630">
        <f>SUM(BF90:BF92)</f>
        <v>0</v>
      </c>
    </row>
    <row r="94" spans="1:61" ht="13.5" thickBot="1" x14ac:dyDescent="0.25">
      <c r="D94" s="39"/>
      <c r="AJ94" s="632" t="s">
        <v>657</v>
      </c>
      <c r="AK94" s="633">
        <f>AK31+AL31</f>
        <v>0</v>
      </c>
      <c r="AL94" s="633">
        <f>AK34+AL34</f>
        <v>0</v>
      </c>
      <c r="AM94" s="634">
        <f>AK32+AL32</f>
        <v>0</v>
      </c>
      <c r="AN94" s="635">
        <f>AN31+AO31</f>
        <v>0</v>
      </c>
      <c r="AO94" s="633">
        <f>AN34+AO34</f>
        <v>0</v>
      </c>
      <c r="AP94" s="634">
        <f>AN32+AO32</f>
        <v>0</v>
      </c>
      <c r="AQ94" s="629"/>
      <c r="AT94" s="632" t="s">
        <v>665</v>
      </c>
      <c r="AU94" s="633">
        <f>AK31+AL31</f>
        <v>0</v>
      </c>
      <c r="AV94" s="633">
        <f>AK34+AL34</f>
        <v>0</v>
      </c>
      <c r="AW94" s="634">
        <f>AK32+AL32</f>
        <v>0</v>
      </c>
      <c r="AX94" s="635">
        <f>AN31+AO31</f>
        <v>0</v>
      </c>
      <c r="AY94" s="633">
        <f>AN34+AO34</f>
        <v>0</v>
      </c>
      <c r="AZ94" s="634">
        <f>AN32+AO32</f>
        <v>0</v>
      </c>
      <c r="BC94" s="632" t="s">
        <v>634</v>
      </c>
      <c r="BD94" s="633">
        <f>AK31+AL31</f>
        <v>0</v>
      </c>
      <c r="BE94" s="633">
        <f>AK34+AL34</f>
        <v>0</v>
      </c>
      <c r="BF94" s="634">
        <f>AK32+AL32</f>
        <v>0</v>
      </c>
    </row>
    <row r="95" spans="1:61" x14ac:dyDescent="0.2">
      <c r="B95" s="199" t="s">
        <v>237</v>
      </c>
      <c r="C95" s="636" t="s">
        <v>238</v>
      </c>
      <c r="D95" s="602" t="s">
        <v>606</v>
      </c>
      <c r="AT95" s="120" t="s">
        <v>1019</v>
      </c>
    </row>
    <row r="96" spans="1:61" ht="13.5" thickBot="1" x14ac:dyDescent="0.25">
      <c r="B96" s="56" t="s">
        <v>239</v>
      </c>
      <c r="C96" s="637" t="s">
        <v>241</v>
      </c>
      <c r="D96" s="602"/>
      <c r="AJ96" s="41" t="s">
        <v>639</v>
      </c>
      <c r="AT96" s="120" t="s">
        <v>664</v>
      </c>
    </row>
    <row r="97" spans="1:46" x14ac:dyDescent="0.2">
      <c r="B97" s="638" t="s">
        <v>75</v>
      </c>
      <c r="C97" s="639">
        <v>0.3</v>
      </c>
      <c r="D97" s="602"/>
      <c r="AJ97" s="41" t="s">
        <v>640</v>
      </c>
      <c r="AT97" s="120" t="s">
        <v>1020</v>
      </c>
    </row>
    <row r="98" spans="1:46" x14ac:dyDescent="0.2">
      <c r="B98" s="640" t="s">
        <v>240</v>
      </c>
      <c r="C98" s="639">
        <v>0.5</v>
      </c>
      <c r="D98" s="602"/>
    </row>
    <row r="99" spans="1:46" ht="13.5" thickBot="1" x14ac:dyDescent="0.25">
      <c r="B99" s="202" t="s">
        <v>89</v>
      </c>
      <c r="C99" s="637">
        <v>0.6</v>
      </c>
      <c r="D99" s="602"/>
    </row>
    <row r="100" spans="1:46" s="127" customFormat="1" ht="16.5" thickBot="1" x14ac:dyDescent="0.3">
      <c r="AJ100" s="641" t="s">
        <v>656</v>
      </c>
    </row>
    <row r="101" spans="1:46" s="127" customFormat="1" ht="13.5" thickBot="1" x14ac:dyDescent="0.25">
      <c r="A101" s="525"/>
      <c r="B101" s="525"/>
      <c r="C101" s="525"/>
      <c r="D101" s="525"/>
      <c r="E101" s="525"/>
      <c r="F101" s="525"/>
      <c r="G101" s="525"/>
      <c r="H101" s="525"/>
      <c r="I101" s="525"/>
      <c r="J101" s="525"/>
      <c r="K101" s="525"/>
      <c r="L101" s="525"/>
      <c r="M101" s="525"/>
      <c r="N101" s="525"/>
      <c r="O101" s="525"/>
      <c r="P101" s="525"/>
      <c r="AB101" s="642" t="s">
        <v>508</v>
      </c>
      <c r="AJ101" s="643"/>
      <c r="AK101" s="644"/>
      <c r="AL101" s="644"/>
      <c r="AM101" s="644"/>
      <c r="AN101" s="644"/>
      <c r="AO101" s="644"/>
      <c r="AP101" s="644"/>
      <c r="AQ101" s="644"/>
      <c r="AR101" s="644"/>
      <c r="AS101" s="645"/>
    </row>
    <row r="102" spans="1:46" ht="13.5" thickBot="1" x14ac:dyDescent="0.25">
      <c r="Q102" s="129"/>
      <c r="R102" s="456"/>
      <c r="S102" s="456"/>
      <c r="T102" s="456"/>
      <c r="U102" s="456"/>
      <c r="V102" s="456"/>
      <c r="W102" s="456"/>
      <c r="X102" s="456"/>
      <c r="Y102" s="456"/>
      <c r="Z102" s="456"/>
      <c r="AA102" s="456"/>
      <c r="AB102" s="642"/>
      <c r="AJ102" s="646" t="s">
        <v>652</v>
      </c>
      <c r="AK102" s="647">
        <f>AN14*24*3.6</f>
        <v>0</v>
      </c>
      <c r="AL102" s="5"/>
      <c r="AM102" s="5"/>
      <c r="AN102" s="5"/>
      <c r="AO102" s="5"/>
      <c r="AP102" s="5"/>
      <c r="AQ102" s="5"/>
      <c r="AR102" s="5"/>
      <c r="AS102" s="50"/>
    </row>
    <row r="103" spans="1:46" x14ac:dyDescent="0.2">
      <c r="B103" s="94" t="s">
        <v>74</v>
      </c>
      <c r="C103" s="480" t="s">
        <v>61</v>
      </c>
      <c r="Q103" s="151"/>
      <c r="R103" s="460" t="s">
        <v>756</v>
      </c>
      <c r="S103" s="459"/>
      <c r="T103" s="459"/>
      <c r="U103" s="459"/>
      <c r="V103" s="459"/>
      <c r="W103" s="459"/>
      <c r="X103" s="459"/>
      <c r="Y103" s="459"/>
      <c r="Z103" s="459"/>
      <c r="AA103" s="459"/>
      <c r="AB103" s="642"/>
      <c r="AJ103" s="49"/>
      <c r="AK103" s="648" t="str">
        <f>R22</f>
        <v>a) Durchflussanlage</v>
      </c>
      <c r="AL103" s="649"/>
      <c r="AM103" s="650" t="str">
        <f>R24</f>
        <v>c) Kreislaufanlage</v>
      </c>
      <c r="AN103" s="651"/>
      <c r="AO103" s="164"/>
      <c r="AP103" s="136"/>
      <c r="AQ103" s="5"/>
      <c r="AR103" s="652" t="str">
        <f>R23</f>
        <v>b) Teichanlage</v>
      </c>
      <c r="AS103" s="653"/>
    </row>
    <row r="104" spans="1:46" x14ac:dyDescent="0.2">
      <c r="B104" s="41" t="s">
        <v>76</v>
      </c>
      <c r="D104" s="654" t="s">
        <v>101</v>
      </c>
      <c r="Q104" s="151"/>
      <c r="R104" s="459"/>
      <c r="S104" s="1044" t="s">
        <v>518</v>
      </c>
      <c r="T104" s="1045"/>
      <c r="U104" s="469"/>
      <c r="V104" s="459"/>
      <c r="W104" s="459"/>
      <c r="X104" s="459"/>
      <c r="Y104" s="459"/>
      <c r="Z104" s="459"/>
      <c r="AA104" s="459"/>
      <c r="AB104" s="642"/>
      <c r="AJ104" s="655" t="s">
        <v>66</v>
      </c>
      <c r="AK104" s="656" t="s">
        <v>609</v>
      </c>
      <c r="AL104" s="657" t="s">
        <v>728</v>
      </c>
      <c r="AM104" s="658" t="s">
        <v>609</v>
      </c>
      <c r="AN104" s="659" t="s">
        <v>729</v>
      </c>
      <c r="AO104" s="660"/>
      <c r="AP104" s="661"/>
      <c r="AQ104" s="660"/>
      <c r="AR104" s="658" t="s">
        <v>609</v>
      </c>
      <c r="AS104" s="662" t="s">
        <v>728</v>
      </c>
    </row>
    <row r="105" spans="1:46" ht="12.75" customHeight="1" x14ac:dyDescent="0.2">
      <c r="B105" s="41" t="s">
        <v>77</v>
      </c>
      <c r="C105" s="157" t="s">
        <v>79</v>
      </c>
      <c r="Q105" s="151"/>
      <c r="R105" s="461" t="str">
        <f>INDEX(Texte,96,Fischzuchtanlage!$N$2)</f>
        <v>a) keine Feststoffabtrennung</v>
      </c>
      <c r="S105" s="1052" t="str">
        <f>INDEX(Texte,97,Fischzuchtanlage!$N$2)</f>
        <v>Werden die Feststoffe nicht abgetrennt, erhöht sich die Belastung des Abwassers.</v>
      </c>
      <c r="T105" s="1053"/>
      <c r="U105" s="850"/>
      <c r="V105" s="797"/>
      <c r="W105" s="797"/>
      <c r="X105" s="797"/>
      <c r="Y105" s="797"/>
      <c r="Z105" s="797"/>
      <c r="AA105" s="798"/>
      <c r="AB105" s="486">
        <v>1</v>
      </c>
      <c r="AJ105" s="663" t="s">
        <v>255</v>
      </c>
      <c r="AK105" s="664" t="e">
        <f>AM77/$AK$102*1000</f>
        <v>#DIV/0!</v>
      </c>
      <c r="AL105" s="665" t="e">
        <f>AR77/$AK$102*1000</f>
        <v>#DIV/0!</v>
      </c>
      <c r="AM105" s="666" t="str">
        <f>IF(AN10&gt;0,T224,"")</f>
        <v/>
      </c>
      <c r="AN105" s="667" t="str">
        <f>IF(AN10&gt;0,T224,"")</f>
        <v/>
      </c>
      <c r="AO105" s="660" t="s">
        <v>677</v>
      </c>
      <c r="AP105" s="661"/>
      <c r="AQ105" s="660"/>
      <c r="AR105" s="664" t="e">
        <f>BF77/$AK$102*1000</f>
        <v>#DIV/0!</v>
      </c>
      <c r="AS105" s="668" t="e">
        <f>BI77/$AK$102*1000</f>
        <v>#DIV/0!</v>
      </c>
    </row>
    <row r="106" spans="1:46" x14ac:dyDescent="0.2">
      <c r="B106" s="41" t="s">
        <v>78</v>
      </c>
      <c r="C106" s="157" t="s">
        <v>80</v>
      </c>
      <c r="Q106" s="151"/>
      <c r="R106" s="461" t="str">
        <f>INDEX(Texte,98,Fischzuchtanlage!$N$2)</f>
        <v>b) separates Absetzbecken</v>
      </c>
      <c r="S106" s="1052" t="str">
        <f>INDEX(Texte,99,Fischzuchtanlage!$N$2)</f>
        <v>Die Feststoffe werden in einem Absetzbecken für den laufenden Betrieb zurückgehalten. Dies reduziert den Gehalt an ungelösten Stoffen (GUS) um etwa 30 % und vermindert die Rücklösung von Kohlenstoff-, Stickstoff- und Phosphorverbindungen.</v>
      </c>
      <c r="T106" s="1053"/>
      <c r="U106" s="851"/>
      <c r="V106" s="799"/>
      <c r="W106" s="799"/>
      <c r="X106" s="799"/>
      <c r="Y106" s="799"/>
      <c r="Z106" s="799"/>
      <c r="AA106" s="800"/>
      <c r="AB106" s="486">
        <v>2</v>
      </c>
      <c r="AJ106" s="663" t="s">
        <v>68</v>
      </c>
      <c r="AK106" s="664" t="e">
        <f>AM78/$AK$102*1000</f>
        <v>#DIV/0!</v>
      </c>
      <c r="AL106" s="665" t="e">
        <f>AR78/$AK$102*1000</f>
        <v>#DIV/0!</v>
      </c>
      <c r="AM106" s="664" t="e">
        <f>AX80/$AK$102*1000</f>
        <v>#DIV/0!</v>
      </c>
      <c r="AN106" s="665" t="e">
        <f>BA80/$AK$102*1000</f>
        <v>#DIV/0!</v>
      </c>
      <c r="AO106" s="660" t="s">
        <v>667</v>
      </c>
      <c r="AP106" s="661"/>
      <c r="AQ106" s="669"/>
      <c r="AR106" s="664" t="e">
        <f t="shared" ref="AR106" si="7">BF78/$AK$102*1000</f>
        <v>#DIV/0!</v>
      </c>
      <c r="AS106" s="668" t="e">
        <f t="shared" ref="AS106" si="8">BI78/$AK$102*1000</f>
        <v>#DIV/0!</v>
      </c>
    </row>
    <row r="107" spans="1:46" x14ac:dyDescent="0.2">
      <c r="B107" s="41" t="s">
        <v>81</v>
      </c>
      <c r="C107" s="157" t="s">
        <v>82</v>
      </c>
      <c r="Q107" s="151"/>
      <c r="R107" s="461" t="str">
        <f>INDEX(Texte,100,Fischzuchtanlage!$N$2)</f>
        <v>c) Bandfilter</v>
      </c>
      <c r="S107" s="1050" t="str">
        <f>INDEX(Texte,101,Fischzuchtanlage!$N$2)</f>
        <v>Bandfilter: umlaufendes Siebband (Maschenweite 60 bis 100 Mikrometer). Dies reduziert den Gehalt an ungelösten Stoffen (GUS) um etwa 50 % und vermindert die Rücklösung von Kohlenstoff-, Stickstoff- und Phosphorverbindungen.</v>
      </c>
      <c r="T107" s="1051"/>
      <c r="U107" s="851"/>
      <c r="V107" s="799"/>
      <c r="W107" s="799"/>
      <c r="X107" s="799"/>
      <c r="Y107" s="799"/>
      <c r="Z107" s="799"/>
      <c r="AA107" s="800"/>
      <c r="AB107" s="486">
        <v>3</v>
      </c>
      <c r="AJ107" s="120" t="s">
        <v>451</v>
      </c>
      <c r="AK107" s="664" t="e">
        <f>AK106-AK108-AK109</f>
        <v>#DIV/0!</v>
      </c>
      <c r="AL107" s="665" t="e">
        <f>AL106-AL108-AL109</f>
        <v>#DIV/0!</v>
      </c>
      <c r="AM107" s="664" t="e">
        <f>AM106-AM108-AM109</f>
        <v>#DIV/0!</v>
      </c>
      <c r="AN107" s="665" t="e">
        <f>AN106-AN108-AN109</f>
        <v>#DIV/0!</v>
      </c>
      <c r="AO107" s="660"/>
      <c r="AP107" s="661"/>
      <c r="AR107" s="664" t="e">
        <f>AR106</f>
        <v>#DIV/0!</v>
      </c>
      <c r="AS107" s="668" t="e">
        <f>AS106</f>
        <v>#DIV/0!</v>
      </c>
    </row>
    <row r="108" spans="1:46" x14ac:dyDescent="0.2">
      <c r="B108" s="41" t="s">
        <v>73</v>
      </c>
      <c r="C108" s="157" t="s">
        <v>83</v>
      </c>
      <c r="D108" s="41" t="s">
        <v>84</v>
      </c>
      <c r="Q108" s="151"/>
      <c r="R108" s="461" t="str">
        <f>INDEX(Texte,102,Fischzuchtanlage!$N$2)</f>
        <v>d) Trommel / Scheibenfilter</v>
      </c>
      <c r="S108" s="1050" t="str">
        <f>INDEX(Texte,103,Fischzuchtanlage!$N$2)</f>
        <v>Das Ablaufwasser fliesst durch eine rotierende, mit Filtergaze bespannte Trommel oder Siebscheiben ab (Maschenweite 60 bis 100 Mikrometer). Dies reduziert den Gehalt an ungelösten Stoffen (GUS) um etwa 60 % und vermindert die Rücklösung von Kohlenstoff-, Stickstoff- und Phosphorverbindungen</v>
      </c>
      <c r="T108" s="1051"/>
      <c r="U108" s="850"/>
      <c r="V108" s="797"/>
      <c r="W108" s="797"/>
      <c r="X108" s="797"/>
      <c r="Y108" s="797"/>
      <c r="Z108" s="797"/>
      <c r="AA108" s="798"/>
      <c r="AB108" s="486">
        <v>4</v>
      </c>
      <c r="AJ108" s="663" t="s">
        <v>450</v>
      </c>
      <c r="AK108" s="664"/>
      <c r="AL108" s="665"/>
      <c r="AM108" s="670" t="str">
        <f>IF(AN10&gt;0,T223,"")</f>
        <v/>
      </c>
      <c r="AN108" s="671" t="str">
        <f>IF(AN10&gt;0,T223,"")</f>
        <v/>
      </c>
      <c r="AO108" s="660" t="s">
        <v>677</v>
      </c>
      <c r="AP108" s="661"/>
      <c r="AQ108" s="5"/>
      <c r="AR108" s="672"/>
      <c r="AS108" s="627"/>
    </row>
    <row r="109" spans="1:46" ht="13.5" thickBot="1" x14ac:dyDescent="0.25">
      <c r="Q109" s="143"/>
      <c r="R109" s="478"/>
      <c r="S109" s="478"/>
      <c r="T109" s="478"/>
      <c r="U109" s="478"/>
      <c r="V109" s="478"/>
      <c r="W109" s="478"/>
      <c r="X109" s="478"/>
      <c r="Y109" s="478"/>
      <c r="Z109" s="478"/>
      <c r="AA109" s="478"/>
      <c r="AB109" s="479"/>
      <c r="AJ109" s="663" t="s">
        <v>286</v>
      </c>
      <c r="AK109" s="664" t="e">
        <f>AM79/$AK$102*1000</f>
        <v>#DIV/0!</v>
      </c>
      <c r="AL109" s="665" t="e">
        <f>AR79/$AK$102*1000</f>
        <v>#DIV/0!</v>
      </c>
      <c r="AM109" s="670" t="str">
        <f>IF(AN10&gt;0,T222,"")</f>
        <v/>
      </c>
      <c r="AN109" s="671" t="str">
        <f>IF(AN10&gt;0,T222,"")</f>
        <v/>
      </c>
      <c r="AO109" s="660" t="s">
        <v>677</v>
      </c>
      <c r="AP109" s="661"/>
      <c r="AQ109" s="5"/>
      <c r="AR109" s="49"/>
      <c r="AS109" s="50"/>
    </row>
    <row r="110" spans="1:46" x14ac:dyDescent="0.2">
      <c r="AJ110" s="663" t="s">
        <v>650</v>
      </c>
      <c r="AK110" s="664" t="e">
        <f>AM80/$AK$102*1000</f>
        <v>#DIV/0!</v>
      </c>
      <c r="AL110" s="665" t="e">
        <f>AR80/$AK$102*1000</f>
        <v>#DIV/0!</v>
      </c>
      <c r="AM110" s="664" t="e">
        <f>AX82/$AK$102*1000</f>
        <v>#DIV/0!</v>
      </c>
      <c r="AN110" s="665" t="e">
        <f>BA82/$AK$102*1000</f>
        <v>#DIV/0!</v>
      </c>
      <c r="AO110" s="660" t="s">
        <v>668</v>
      </c>
      <c r="AP110" s="661"/>
      <c r="AQ110" s="5"/>
      <c r="AR110" s="664" t="e">
        <f>BF80/$AK$102*1000</f>
        <v>#DIV/0!</v>
      </c>
      <c r="AS110" s="668" t="e">
        <f>BI80/$AK$102*1000</f>
        <v>#DIV/0!</v>
      </c>
    </row>
    <row r="111" spans="1:46" ht="13.5" thickBot="1" x14ac:dyDescent="0.25">
      <c r="B111" s="94" t="s">
        <v>320</v>
      </c>
      <c r="R111" s="13"/>
      <c r="S111" s="13"/>
      <c r="T111" s="13"/>
      <c r="U111" s="13"/>
      <c r="V111" s="13"/>
      <c r="W111" s="13"/>
      <c r="X111" s="13"/>
      <c r="Y111" s="13"/>
      <c r="Z111" s="13"/>
      <c r="AA111" s="13"/>
      <c r="AB111" s="13"/>
      <c r="AJ111" s="663" t="s">
        <v>90</v>
      </c>
      <c r="AK111" s="664" t="e">
        <f>AM82/$AK$102*1000</f>
        <v>#DIV/0!</v>
      </c>
      <c r="AL111" s="665" t="e">
        <f>AR82/$AK$102*1000</f>
        <v>#DIV/0!</v>
      </c>
      <c r="AM111" s="670" t="str">
        <f>IF(AN10&gt;0,T225,"")</f>
        <v/>
      </c>
      <c r="AN111" s="671" t="str">
        <f>IF(AN10&gt;0,T225,"")</f>
        <v/>
      </c>
      <c r="AO111" s="673" t="s">
        <v>677</v>
      </c>
      <c r="AP111" s="674"/>
      <c r="AQ111" s="5"/>
      <c r="AR111" s="5"/>
      <c r="AS111" s="50"/>
    </row>
    <row r="112" spans="1:46" x14ac:dyDescent="0.2">
      <c r="B112" s="41" t="s">
        <v>607</v>
      </c>
      <c r="R112" s="13"/>
      <c r="S112" s="675"/>
      <c r="T112" s="675"/>
      <c r="U112" s="676"/>
      <c r="V112" s="676"/>
      <c r="W112" s="676"/>
      <c r="X112" s="676"/>
      <c r="Y112" s="676"/>
      <c r="Z112" s="676"/>
      <c r="AA112" s="676"/>
      <c r="AB112" s="95"/>
      <c r="AJ112" s="663" t="s">
        <v>655</v>
      </c>
      <c r="AK112" s="664" t="e">
        <f>AK91/$AK$102*1000</f>
        <v>#DIV/0!</v>
      </c>
      <c r="AL112" s="665" t="e">
        <f>AN91/$AK$102*1000</f>
        <v>#DIV/0!</v>
      </c>
      <c r="AM112" s="1033" t="s">
        <v>682</v>
      </c>
      <c r="AN112" s="1034"/>
      <c r="AO112" s="5"/>
      <c r="AP112" s="5"/>
      <c r="AQ112" s="5"/>
      <c r="AR112" s="5"/>
      <c r="AS112" s="50"/>
    </row>
    <row r="113" spans="1:50" x14ac:dyDescent="0.2">
      <c r="B113" s="453"/>
      <c r="C113" s="677" t="s">
        <v>90</v>
      </c>
      <c r="D113" s="159" t="s">
        <v>87</v>
      </c>
      <c r="E113" s="127" t="s">
        <v>78</v>
      </c>
      <c r="R113" s="13"/>
      <c r="S113" s="521"/>
      <c r="T113" s="521"/>
      <c r="U113" s="8"/>
      <c r="V113" s="8"/>
      <c r="W113" s="8"/>
      <c r="X113" s="8"/>
      <c r="Y113" s="8"/>
      <c r="Z113" s="8"/>
      <c r="AA113" s="8"/>
      <c r="AB113" s="95"/>
      <c r="AJ113" s="663" t="s">
        <v>651</v>
      </c>
      <c r="AK113" s="664" t="e">
        <f>AM81/$AK$102*1000</f>
        <v>#DIV/0!</v>
      </c>
      <c r="AL113" s="665" t="e">
        <f>AR81/$AK$102*1000</f>
        <v>#DIV/0!</v>
      </c>
      <c r="AM113" s="1033"/>
      <c r="AN113" s="1034"/>
      <c r="AO113" s="5"/>
      <c r="AP113" s="5"/>
      <c r="AQ113" s="5"/>
      <c r="AR113" s="5"/>
      <c r="AS113" s="50"/>
    </row>
    <row r="114" spans="1:50" ht="13.5" thickBot="1" x14ac:dyDescent="0.25">
      <c r="B114" s="453" t="s">
        <v>75</v>
      </c>
      <c r="C114" s="678">
        <v>0.3</v>
      </c>
      <c r="D114" s="487">
        <v>0.05</v>
      </c>
      <c r="E114" s="487">
        <v>0.15</v>
      </c>
      <c r="R114" s="13"/>
      <c r="S114" s="521"/>
      <c r="T114" s="521"/>
      <c r="U114" s="8"/>
      <c r="V114" s="8"/>
      <c r="W114" s="8"/>
      <c r="X114" s="8"/>
      <c r="Y114" s="8"/>
      <c r="Z114" s="8"/>
      <c r="AA114" s="8"/>
      <c r="AB114" s="95"/>
      <c r="AJ114" s="663" t="s">
        <v>654</v>
      </c>
      <c r="AK114" s="679" t="e">
        <f>AM91/$AK$102*1000</f>
        <v>#DIV/0!</v>
      </c>
      <c r="AL114" s="680" t="e">
        <f>AP91/$AK$102*1000</f>
        <v>#DIV/0!</v>
      </c>
      <c r="AM114" s="1035"/>
      <c r="AN114" s="1036"/>
      <c r="AO114" s="5"/>
      <c r="AP114" s="5"/>
      <c r="AQ114" s="5"/>
      <c r="AR114" s="5"/>
      <c r="AS114" s="50"/>
    </row>
    <row r="115" spans="1:50" ht="13.5" thickBot="1" x14ac:dyDescent="0.25">
      <c r="B115" s="453" t="s">
        <v>88</v>
      </c>
      <c r="C115" s="678">
        <v>0.5</v>
      </c>
      <c r="D115" s="487">
        <v>0.1</v>
      </c>
      <c r="E115" s="487">
        <v>0.2</v>
      </c>
      <c r="R115" s="13"/>
      <c r="S115" s="675"/>
      <c r="T115" s="675"/>
      <c r="U115" s="676"/>
      <c r="V115" s="676"/>
      <c r="W115" s="676"/>
      <c r="X115" s="676"/>
      <c r="Y115" s="676"/>
      <c r="Z115" s="676"/>
      <c r="AA115" s="676"/>
      <c r="AB115" s="95"/>
      <c r="AJ115" s="56"/>
      <c r="AK115" s="155"/>
      <c r="AL115" s="155"/>
      <c r="AM115" s="155"/>
      <c r="AN115" s="155"/>
      <c r="AO115" s="155"/>
      <c r="AP115" s="155"/>
      <c r="AQ115" s="155"/>
      <c r="AR115" s="155"/>
      <c r="AS115" s="141"/>
    </row>
    <row r="116" spans="1:50" x14ac:dyDescent="0.2">
      <c r="B116" s="453" t="s">
        <v>89</v>
      </c>
      <c r="C116" s="678">
        <v>0.6</v>
      </c>
      <c r="D116" s="487">
        <v>0.1</v>
      </c>
      <c r="E116" s="487">
        <v>0.25</v>
      </c>
      <c r="R116" s="13"/>
      <c r="S116" s="13"/>
      <c r="T116" s="13"/>
      <c r="U116" s="13"/>
      <c r="V116" s="13"/>
      <c r="W116" s="13"/>
      <c r="X116" s="13"/>
      <c r="Y116" s="13"/>
      <c r="Z116" s="13"/>
      <c r="AA116" s="13"/>
      <c r="AB116" s="13"/>
    </row>
    <row r="117" spans="1:50" ht="15.75" x14ac:dyDescent="0.25">
      <c r="AI117" s="641" t="s">
        <v>697</v>
      </c>
    </row>
    <row r="118" spans="1:50" s="127" customFormat="1" x14ac:dyDescent="0.2">
      <c r="A118" s="525"/>
      <c r="B118" s="525"/>
      <c r="C118" s="525"/>
      <c r="D118" s="525"/>
      <c r="E118" s="525"/>
      <c r="F118" s="525"/>
      <c r="G118" s="525"/>
      <c r="H118" s="525"/>
      <c r="I118" s="525"/>
      <c r="J118" s="525"/>
      <c r="K118" s="525"/>
      <c r="L118" s="525"/>
      <c r="M118" s="525"/>
      <c r="N118" s="525"/>
      <c r="O118" s="525"/>
      <c r="P118" s="525"/>
    </row>
    <row r="119" spans="1:50" x14ac:dyDescent="0.2">
      <c r="AI119" s="41" t="s">
        <v>497</v>
      </c>
      <c r="AJ119" s="1037" t="str">
        <f>AO16</f>
        <v>c) Kreislaufanlage</v>
      </c>
      <c r="AK119" s="1037"/>
      <c r="AL119" s="1037"/>
      <c r="AM119" s="39"/>
      <c r="AU119" s="681" t="s">
        <v>686</v>
      </c>
      <c r="AV119" s="681" t="s">
        <v>685</v>
      </c>
      <c r="AW119" s="127"/>
      <c r="AX119" s="127"/>
    </row>
    <row r="120" spans="1:50" x14ac:dyDescent="0.2">
      <c r="B120" s="94" t="s">
        <v>222</v>
      </c>
      <c r="C120" s="94"/>
      <c r="D120" s="94" t="s">
        <v>235</v>
      </c>
      <c r="AI120" s="41" t="s">
        <v>676</v>
      </c>
      <c r="AJ120" s="1038" t="str">
        <f>AO20</f>
        <v>a) keine</v>
      </c>
      <c r="AK120" s="1038"/>
      <c r="AL120" s="1038"/>
      <c r="AM120" s="682"/>
      <c r="AV120" s="204" t="str">
        <f>AK103</f>
        <v>a) Durchflussanlage</v>
      </c>
      <c r="AW120" s="204" t="str">
        <f>AR103</f>
        <v>b) Teichanlage</v>
      </c>
      <c r="AX120" s="204" t="str">
        <f>AM103</f>
        <v>c) Kreislaufanlage</v>
      </c>
    </row>
    <row r="121" spans="1:50" x14ac:dyDescent="0.2">
      <c r="C121" s="41" t="s">
        <v>223</v>
      </c>
      <c r="AI121" s="41" t="s">
        <v>426</v>
      </c>
      <c r="AJ121" s="1038" t="str">
        <f>AO21</f>
        <v>d) keine</v>
      </c>
      <c r="AK121" s="1038"/>
      <c r="AL121" s="1038"/>
      <c r="AU121" s="659" t="str">
        <f>R140</f>
        <v>a) keine</v>
      </c>
      <c r="AV121" s="790">
        <v>1</v>
      </c>
      <c r="AW121" s="215">
        <v>1</v>
      </c>
      <c r="AX121" s="790">
        <v>1</v>
      </c>
    </row>
    <row r="122" spans="1:50" x14ac:dyDescent="0.2">
      <c r="C122" s="157" t="s">
        <v>226</v>
      </c>
      <c r="D122" s="157" t="s">
        <v>224</v>
      </c>
      <c r="E122" s="157" t="s">
        <v>225</v>
      </c>
      <c r="F122" s="157" t="s">
        <v>90</v>
      </c>
      <c r="G122" s="157" t="s">
        <v>230</v>
      </c>
      <c r="H122" s="157" t="s">
        <v>231</v>
      </c>
      <c r="I122" s="157" t="s">
        <v>232</v>
      </c>
      <c r="AJ122" s="447" t="s">
        <v>775</v>
      </c>
      <c r="AL122" s="94" t="s">
        <v>688</v>
      </c>
      <c r="AR122" s="683" t="s">
        <v>692</v>
      </c>
      <c r="AS122" s="684"/>
      <c r="AU122" s="659" t="str">
        <f>R141</f>
        <v>b) Schönungsteich</v>
      </c>
      <c r="AV122" s="790">
        <v>1</v>
      </c>
      <c r="AW122" s="215">
        <v>0</v>
      </c>
      <c r="AX122" s="790">
        <v>1</v>
      </c>
    </row>
    <row r="123" spans="1:50" x14ac:dyDescent="0.2">
      <c r="B123" s="41" t="s">
        <v>227</v>
      </c>
      <c r="C123" s="157">
        <v>0.64</v>
      </c>
      <c r="D123" s="157">
        <v>0.96</v>
      </c>
      <c r="E123" s="157">
        <v>0.9</v>
      </c>
      <c r="F123" s="157">
        <v>0.99</v>
      </c>
      <c r="G123" s="157"/>
      <c r="H123" s="157"/>
      <c r="I123" s="157"/>
      <c r="AI123" s="685" t="str">
        <f>INDEX(Texte,136,Fischzuchtanlage!$N$2)</f>
        <v>Parameter</v>
      </c>
      <c r="AJ123" s="204"/>
      <c r="AK123" s="685" t="s">
        <v>223</v>
      </c>
      <c r="AL123" s="462">
        <f>INDEX(MatrixWG,AW129,AW130)</f>
        <v>1</v>
      </c>
      <c r="AM123" s="686" t="s">
        <v>776</v>
      </c>
      <c r="AN123" s="686" t="s">
        <v>777</v>
      </c>
      <c r="AO123" s="685" t="s">
        <v>683</v>
      </c>
      <c r="AP123" s="685" t="s">
        <v>684</v>
      </c>
      <c r="AR123" s="685" t="s">
        <v>683</v>
      </c>
      <c r="AS123" s="685" t="s">
        <v>730</v>
      </c>
      <c r="AU123" s="659" t="str">
        <f>R142</f>
        <v>c) Kleinkläranlage (Pflanzenkläranlage, Tropfkörper)</v>
      </c>
      <c r="AV123" s="790">
        <v>1</v>
      </c>
      <c r="AW123" s="215">
        <v>0</v>
      </c>
      <c r="AX123" s="790">
        <v>1</v>
      </c>
    </row>
    <row r="124" spans="1:50" x14ac:dyDescent="0.2">
      <c r="B124" s="41" t="s">
        <v>229</v>
      </c>
      <c r="C124" s="157">
        <v>0.01</v>
      </c>
      <c r="D124" s="157">
        <v>0.38</v>
      </c>
      <c r="E124" s="157">
        <v>0.3</v>
      </c>
      <c r="F124" s="157">
        <v>0.45</v>
      </c>
      <c r="G124" s="157">
        <v>0.87</v>
      </c>
      <c r="H124" s="157">
        <v>-0.38</v>
      </c>
      <c r="I124" s="157">
        <v>-0.06</v>
      </c>
      <c r="AI124" s="685" t="str">
        <f>INDEX(Texte,137,Fischzuchtanlage!$N$2)</f>
        <v>Ammonium-N</v>
      </c>
      <c r="AJ124" s="204"/>
      <c r="AK124" s="687">
        <f>VLOOKUP($AJ$120,VorbehText,4)</f>
        <v>0</v>
      </c>
      <c r="AL124" s="687">
        <f t="shared" ref="AL124:AL131" si="9">AK124*$AL$123</f>
        <v>0</v>
      </c>
      <c r="AM124" s="688" t="str">
        <f>IF($AJ$119=$AK$103,AK109,IF($AJ$119=$AM$103,AM109,IF($AJ$119=$AR$103,AR109,"")))</f>
        <v/>
      </c>
      <c r="AN124" s="688" t="str">
        <f>IF($AJ$119=$AK$103,AL109,IF($AJ$119=$AM$103,AN109,IF($AJ$119=$AR$103,AS109,"")))</f>
        <v/>
      </c>
      <c r="AO124" s="689" t="e">
        <f>AM124*(1-AL124)</f>
        <v>#VALUE!</v>
      </c>
      <c r="AP124" s="689" t="e">
        <f>AN124*(1-AL124)</f>
        <v>#VALUE!</v>
      </c>
      <c r="AR124" s="690" t="e">
        <f t="shared" ref="AR124:AS131" si="10">IF(AO124&lt;=0,"",AO124)</f>
        <v>#VALUE!</v>
      </c>
      <c r="AS124" s="690" t="e">
        <f t="shared" si="10"/>
        <v>#VALUE!</v>
      </c>
      <c r="AW124" s="127"/>
    </row>
    <row r="125" spans="1:50" x14ac:dyDescent="0.2">
      <c r="B125" s="41" t="s">
        <v>233</v>
      </c>
      <c r="C125" s="157">
        <v>0.51</v>
      </c>
      <c r="D125" s="157">
        <v>0.56999999999999995</v>
      </c>
      <c r="E125" s="157">
        <v>0.59</v>
      </c>
      <c r="F125" s="157">
        <v>0.9</v>
      </c>
      <c r="G125" s="157">
        <v>-0.71</v>
      </c>
      <c r="H125" s="157">
        <v>-0.36</v>
      </c>
      <c r="I125" s="157">
        <v>0.11</v>
      </c>
      <c r="AI125" s="685" t="str">
        <f>INDEX(Texte,138,Fischzuchtanlage!$N$2)</f>
        <v>Nitrat-N</v>
      </c>
      <c r="AJ125" s="204"/>
      <c r="AK125" s="687">
        <f>VLOOKUP($AJ$120,VorbehText,5)</f>
        <v>0</v>
      </c>
      <c r="AL125" s="687">
        <f t="shared" si="9"/>
        <v>0</v>
      </c>
      <c r="AM125" s="688" t="e">
        <f>IF($AJ$119=$AK$103,AK107,IF($AJ$119=$AM$103,AM107,IF($AJ$119=$AR$103,AR107,"")))</f>
        <v>#DIV/0!</v>
      </c>
      <c r="AN125" s="688" t="e">
        <f>IF($AJ$119=$AK$103,AL107,IF($AJ$119=$AM$103,AN107,IF($AJ$119=$AR$103,AS107,"")))</f>
        <v>#DIV/0!</v>
      </c>
      <c r="AO125" s="689" t="e">
        <f t="shared" ref="AO125:AO131" si="11">AM125*(1-AL125)</f>
        <v>#DIV/0!</v>
      </c>
      <c r="AP125" s="689" t="e">
        <f t="shared" ref="AP125:AP131" si="12">AN125*(1-AL125)</f>
        <v>#DIV/0!</v>
      </c>
      <c r="AR125" s="690" t="e">
        <f t="shared" si="10"/>
        <v>#DIV/0!</v>
      </c>
      <c r="AS125" s="690" t="e">
        <f t="shared" si="10"/>
        <v>#DIV/0!</v>
      </c>
      <c r="AU125" s="692" t="str">
        <f>R147</f>
        <v>e) Phosphorfällung</v>
      </c>
      <c r="AV125" s="215">
        <v>0</v>
      </c>
      <c r="AW125" s="215">
        <v>0</v>
      </c>
      <c r="AX125" s="790">
        <v>1</v>
      </c>
    </row>
    <row r="126" spans="1:50" x14ac:dyDescent="0.2">
      <c r="C126" s="157"/>
      <c r="D126" s="157"/>
      <c r="E126" s="157"/>
      <c r="F126" s="157"/>
      <c r="G126" s="157"/>
      <c r="H126" s="157"/>
      <c r="I126" s="157"/>
      <c r="AI126" s="685" t="str">
        <f>INDEX(Texte,139,Fischzuchtanlage!$N$2)</f>
        <v>Gesamt-N</v>
      </c>
      <c r="AJ126" s="204"/>
      <c r="AK126" s="687">
        <f>VLOOKUP($AJ$120,VorbehText,6)</f>
        <v>0</v>
      </c>
      <c r="AL126" s="687">
        <f t="shared" si="9"/>
        <v>0</v>
      </c>
      <c r="AM126" s="688" t="e">
        <f>IF($AJ$119=$AK$103,AK106+AK114,IF($AJ$119=$AM$103,AM106+AM114,IF($AJ$119=$AR$103,AR106+AR114,"")))</f>
        <v>#DIV/0!</v>
      </c>
      <c r="AN126" s="688" t="e">
        <f>IF($AJ$119=$AK$103,AL106+AL114,IF($AJ$119=$AM$103,AN106+AN114,IF($AJ$119=$AR$103,AS106+AS114,"")))</f>
        <v>#DIV/0!</v>
      </c>
      <c r="AO126" s="689" t="e">
        <f t="shared" si="11"/>
        <v>#DIV/0!</v>
      </c>
      <c r="AP126" s="689" t="e">
        <f t="shared" si="12"/>
        <v>#DIV/0!</v>
      </c>
      <c r="AR126" s="690" t="e">
        <f t="shared" si="10"/>
        <v>#DIV/0!</v>
      </c>
      <c r="AS126" s="690" t="e">
        <f t="shared" si="10"/>
        <v>#DIV/0!</v>
      </c>
    </row>
    <row r="127" spans="1:50" s="127" customFormat="1" x14ac:dyDescent="0.2">
      <c r="B127" s="693" t="s">
        <v>321</v>
      </c>
      <c r="C127" s="159"/>
      <c r="D127" s="159"/>
      <c r="E127" s="159"/>
      <c r="F127" s="159"/>
      <c r="G127" s="159"/>
      <c r="H127" s="159"/>
      <c r="I127" s="159"/>
      <c r="AI127" s="685" t="str">
        <f>INDEX(Texte,140,Fischzuchtanlage!$N$2)</f>
        <v>P gelöst</v>
      </c>
      <c r="AJ127" s="694">
        <f>VLOOKUP($AJ$121,PhosphorFText,7)*INDEX(MatrixP,1,AW130)</f>
        <v>0</v>
      </c>
      <c r="AK127" s="695">
        <f>VLOOKUP($AJ$120,VorbehText,7)</f>
        <v>0</v>
      </c>
      <c r="AL127" s="695">
        <f t="shared" si="9"/>
        <v>0</v>
      </c>
      <c r="AM127" s="689" t="e">
        <f>IF($AJ$119=$AM$103,IF(AM110&lt;$AM$133,AM110,IF(AM134&lt;$AM$133,$AM$133,AM134)),AM134)</f>
        <v>#DIV/0!</v>
      </c>
      <c r="AN127" s="689" t="e">
        <f>IF($AJ$119=$AM$103,IF(AN110&lt;$AM$133,AN110,IF(AN134&lt;$AM$133,$AM$133,AN134)),AN134)</f>
        <v>#DIV/0!</v>
      </c>
      <c r="AO127" s="689" t="e">
        <f t="shared" si="11"/>
        <v>#DIV/0!</v>
      </c>
      <c r="AP127" s="689" t="e">
        <f t="shared" si="12"/>
        <v>#DIV/0!</v>
      </c>
      <c r="AR127" s="690" t="e">
        <f t="shared" si="10"/>
        <v>#DIV/0!</v>
      </c>
      <c r="AS127" s="690" t="e">
        <f t="shared" si="10"/>
        <v>#DIV/0!</v>
      </c>
      <c r="AU127" s="41" t="s">
        <v>687</v>
      </c>
      <c r="AV127" s="41"/>
      <c r="AW127" s="41"/>
      <c r="AX127" s="41"/>
    </row>
    <row r="128" spans="1:50" x14ac:dyDescent="0.2">
      <c r="AI128" s="685" t="str">
        <f>INDEX(Texte,141,Fischzuchtanlage!$N$2)</f>
        <v>Gesamt-P</v>
      </c>
      <c r="AJ128" s="687">
        <f>VLOOKUP($AJ$121,PhosphorFText,7)*INDEX(MatrixP,1,AW130)</f>
        <v>0</v>
      </c>
      <c r="AK128" s="687">
        <f>VLOOKUP($AJ$120,VorbehText,7)</f>
        <v>0</v>
      </c>
      <c r="AL128" s="687">
        <f t="shared" si="9"/>
        <v>0</v>
      </c>
      <c r="AM128" s="689" t="e">
        <f>IF($AJ$119=$AM$103,IF(AM110&lt;$AM$133,AM110,IF(AM135&lt;$AM$133,$AM$133,AM135)),AM135)</f>
        <v>#DIV/0!</v>
      </c>
      <c r="AN128" s="689" t="e">
        <f>IF($AJ$119=$AM$103,IF(AN110&lt;$AM$133,AN110,IF(AN135&lt;$AM$133,$AM$133,AN135)),AN135)</f>
        <v>#DIV/0!</v>
      </c>
      <c r="AO128" s="689" t="e">
        <f t="shared" si="11"/>
        <v>#DIV/0!</v>
      </c>
      <c r="AP128" s="689" t="e">
        <f t="shared" si="12"/>
        <v>#DIV/0!</v>
      </c>
      <c r="AR128" s="690" t="e">
        <f t="shared" si="10"/>
        <v>#DIV/0!</v>
      </c>
      <c r="AS128" s="690" t="e">
        <f t="shared" si="10"/>
        <v>#DIV/0!</v>
      </c>
      <c r="AU128" s="41" t="s">
        <v>778</v>
      </c>
      <c r="AV128" s="127"/>
      <c r="AW128" s="127"/>
      <c r="AX128" s="127"/>
    </row>
    <row r="129" spans="2:49" x14ac:dyDescent="0.2">
      <c r="B129" s="198" t="s">
        <v>242</v>
      </c>
      <c r="E129" s="94" t="s">
        <v>235</v>
      </c>
      <c r="AI129" s="685" t="str">
        <f>INDEX(Texte,142,Fischzuchtanlage!$N$2)</f>
        <v>CSB</v>
      </c>
      <c r="AJ129" s="204"/>
      <c r="AK129" s="687">
        <f>VLOOKUP($AJ$120,VorbehText,8)</f>
        <v>0</v>
      </c>
      <c r="AL129" s="687">
        <f t="shared" si="9"/>
        <v>0</v>
      </c>
      <c r="AM129" s="698" t="e">
        <f>(AM131+0.8*AM130)*3</f>
        <v>#VALUE!</v>
      </c>
      <c r="AN129" s="698" t="e">
        <f t="shared" ref="AN129" si="13">(AN131+0.8*AN130)*3</f>
        <v>#VALUE!</v>
      </c>
      <c r="AO129" s="689" t="e">
        <f t="shared" si="11"/>
        <v>#VALUE!</v>
      </c>
      <c r="AP129" s="689" t="e">
        <f t="shared" si="12"/>
        <v>#VALUE!</v>
      </c>
      <c r="AR129" s="690" t="e">
        <f t="shared" si="10"/>
        <v>#VALUE!</v>
      </c>
      <c r="AS129" s="690" t="e">
        <f t="shared" si="10"/>
        <v>#VALUE!</v>
      </c>
      <c r="AU129" s="127" t="s">
        <v>689</v>
      </c>
      <c r="AV129" s="127" t="s">
        <v>690</v>
      </c>
      <c r="AW129" s="462">
        <f>MATCH(AJ120,AU121:AU123)</f>
        <v>1</v>
      </c>
    </row>
    <row r="130" spans="2:49" x14ac:dyDescent="0.2">
      <c r="B130" s="699" t="s">
        <v>243</v>
      </c>
      <c r="AI130" s="685" t="str">
        <f>INDEX(Texte,143,Fischzuchtanlage!$N$2)</f>
        <v>GUS</v>
      </c>
      <c r="AJ130" s="204"/>
      <c r="AK130" s="687">
        <f>VLOOKUP($AJ$120,VorbehText,9)</f>
        <v>0</v>
      </c>
      <c r="AL130" s="687">
        <f t="shared" si="9"/>
        <v>0</v>
      </c>
      <c r="AM130" s="688" t="str">
        <f>IF($AJ$119=$AK$103,AK111,IF($AJ$119=$AM$103,AM111,IF($AJ$119=$AR$103,AR111,"")))</f>
        <v/>
      </c>
      <c r="AN130" s="688" t="str">
        <f>IF($AJ$119=$AK$103,AL111,IF($AJ$119=$AM$103,AN111,IF($AJ$119=$AR$103,AS111,"")))</f>
        <v/>
      </c>
      <c r="AO130" s="689" t="e">
        <f t="shared" si="11"/>
        <v>#VALUE!</v>
      </c>
      <c r="AP130" s="689" t="e">
        <f t="shared" si="12"/>
        <v>#VALUE!</v>
      </c>
      <c r="AR130" s="690" t="e">
        <f t="shared" si="10"/>
        <v>#VALUE!</v>
      </c>
      <c r="AS130" s="690" t="e">
        <f t="shared" si="10"/>
        <v>#VALUE!</v>
      </c>
      <c r="AU130" s="127"/>
      <c r="AV130" s="127" t="s">
        <v>691</v>
      </c>
      <c r="AW130" s="462">
        <f>MATCH(AJ119,AV120:AX120)</f>
        <v>3</v>
      </c>
    </row>
    <row r="131" spans="2:49" x14ac:dyDescent="0.2">
      <c r="B131" s="41" t="s">
        <v>244</v>
      </c>
      <c r="AI131" s="685" t="str">
        <f>INDEX(Texte,144,Fischzuchtanlage!$N$2)</f>
        <v>DOC</v>
      </c>
      <c r="AJ131" s="204"/>
      <c r="AK131" s="687">
        <f>VLOOKUP($AJ$120,VorbehText,10)</f>
        <v>0</v>
      </c>
      <c r="AL131" s="687">
        <f t="shared" si="9"/>
        <v>0</v>
      </c>
      <c r="AM131" s="688" t="str">
        <f>IF($AJ$119=$AK$103,AK105,IF($AJ$119=$AM$103,AM105,IF($AJ$119=$AR$103,AR105,"")))</f>
        <v/>
      </c>
      <c r="AN131" s="688" t="str">
        <f>IF($AJ$119=$AK$103,AL105,IF($AJ$119=$AM$103,AN105,IF($AJ$119=$AR$103,AS105,"")))</f>
        <v/>
      </c>
      <c r="AO131" s="689" t="e">
        <f t="shared" si="11"/>
        <v>#VALUE!</v>
      </c>
      <c r="AP131" s="689" t="e">
        <f t="shared" si="12"/>
        <v>#VALUE!</v>
      </c>
      <c r="AR131" s="690" t="e">
        <f t="shared" si="10"/>
        <v>#VALUE!</v>
      </c>
      <c r="AS131" s="690" t="e">
        <f t="shared" si="10"/>
        <v>#VALUE!</v>
      </c>
    </row>
    <row r="132" spans="2:49" x14ac:dyDescent="0.2">
      <c r="B132" s="41" t="s">
        <v>245</v>
      </c>
      <c r="AH132" s="127"/>
    </row>
    <row r="133" spans="2:49" ht="13.5" thickBot="1" x14ac:dyDescent="0.25">
      <c r="AI133" s="1031" t="s">
        <v>974</v>
      </c>
      <c r="AJ133" s="1031"/>
      <c r="AK133" s="1031"/>
      <c r="AL133" s="1032"/>
      <c r="AM133" s="793">
        <v>0.2</v>
      </c>
    </row>
    <row r="134" spans="2:49" x14ac:dyDescent="0.2">
      <c r="B134" s="199" t="s">
        <v>246</v>
      </c>
      <c r="C134" s="700"/>
      <c r="D134" s="41" t="s">
        <v>247</v>
      </c>
      <c r="AK134" s="41" t="s">
        <v>1001</v>
      </c>
      <c r="AM134" s="696" t="e">
        <f>IF($AJ$119=$AK$103,AK110,IF($AJ$119=$AM$103,AM110,IF($AJ$119=$AR$103,AR110,"")))*(1-AJ127)</f>
        <v>#DIV/0!</v>
      </c>
      <c r="AN134" s="697" t="e">
        <f>IF($AJ$119=$AK$103,AL110,IF($AJ$119=$AM$103,AN110,IF($AJ$119=$AR$103,AS110,"")))*(1-AJ127)</f>
        <v>#DIV/0!</v>
      </c>
    </row>
    <row r="135" spans="2:49" ht="13.5" thickBot="1" x14ac:dyDescent="0.25">
      <c r="B135" s="49" t="s">
        <v>248</v>
      </c>
      <c r="C135" s="639" t="s">
        <v>228</v>
      </c>
      <c r="AM135" s="697" t="e">
        <f>IF($AJ$119=$AK$103,AK110+AK113,IF($AJ$119=$AM$103,AM110+AM113,IF($AJ$119=$AR$103,AR110+AR113,"")))*(1-AJ128)</f>
        <v>#DIV/0!</v>
      </c>
      <c r="AN135" s="697" t="e">
        <f>IF($AJ$119=$AK$103,AL110+AL113,IF($AJ$119=$AM$103,AN110+AN113,IF($AJ$119=$AR$103,AS110+AS113,"")))*(1-AJ128)</f>
        <v>#DIV/0!</v>
      </c>
    </row>
    <row r="136" spans="2:49" ht="13.5" thickBot="1" x14ac:dyDescent="0.25">
      <c r="B136" s="55" t="s">
        <v>230</v>
      </c>
      <c r="C136" s="636">
        <v>0.85</v>
      </c>
      <c r="Q136" s="127"/>
      <c r="R136" s="127"/>
      <c r="S136" s="127"/>
      <c r="T136" s="127"/>
      <c r="U136" s="127"/>
      <c r="V136" s="127"/>
      <c r="W136" s="127"/>
      <c r="X136" s="127"/>
      <c r="Y136" s="127"/>
      <c r="Z136" s="127"/>
      <c r="AA136" s="127"/>
      <c r="AB136" s="642" t="s">
        <v>508</v>
      </c>
    </row>
    <row r="137" spans="2:49" ht="13.5" thickBot="1" x14ac:dyDescent="0.25">
      <c r="B137" s="49" t="s">
        <v>224</v>
      </c>
      <c r="C137" s="639">
        <v>0.33</v>
      </c>
      <c r="Q137" s="129"/>
      <c r="R137" s="456" t="s">
        <v>645</v>
      </c>
      <c r="S137" s="456" t="s">
        <v>757</v>
      </c>
      <c r="T137" s="456"/>
      <c r="U137" s="456"/>
      <c r="V137" s="456"/>
      <c r="W137" s="456"/>
      <c r="X137" s="456"/>
      <c r="Y137" s="456"/>
      <c r="Z137" s="456"/>
      <c r="AA137" s="456"/>
      <c r="AB137" s="701"/>
    </row>
    <row r="138" spans="2:49" x14ac:dyDescent="0.2">
      <c r="B138" s="638" t="s">
        <v>249</v>
      </c>
      <c r="C138" s="639">
        <v>0.6</v>
      </c>
      <c r="Q138" s="151"/>
      <c r="R138" s="460" t="s">
        <v>671</v>
      </c>
      <c r="S138" s="459"/>
      <c r="T138" s="459"/>
      <c r="U138" s="702" t="s">
        <v>223</v>
      </c>
      <c r="V138" s="703"/>
      <c r="W138" s="703"/>
      <c r="X138" s="703"/>
      <c r="Y138" s="703"/>
      <c r="Z138" s="703"/>
      <c r="AA138" s="704"/>
      <c r="AB138" s="705"/>
      <c r="AI138" s="41" t="s">
        <v>696</v>
      </c>
    </row>
    <row r="139" spans="2:49" ht="13.5" thickBot="1" x14ac:dyDescent="0.25">
      <c r="B139" s="51" t="s">
        <v>90</v>
      </c>
      <c r="C139" s="637">
        <v>0.9</v>
      </c>
      <c r="D139" s="41" t="s">
        <v>939</v>
      </c>
      <c r="Q139" s="151"/>
      <c r="R139" s="459"/>
      <c r="S139" s="1044" t="s">
        <v>518</v>
      </c>
      <c r="T139" s="1054"/>
      <c r="U139" s="658" t="s">
        <v>286</v>
      </c>
      <c r="V139" s="691" t="s">
        <v>451</v>
      </c>
      <c r="W139" s="204" t="s">
        <v>452</v>
      </c>
      <c r="X139" s="204" t="s">
        <v>444</v>
      </c>
      <c r="Y139" s="204" t="s">
        <v>225</v>
      </c>
      <c r="Z139" s="204" t="s">
        <v>90</v>
      </c>
      <c r="AA139" s="662" t="s">
        <v>255</v>
      </c>
      <c r="AB139" s="705"/>
      <c r="AI139" s="41" t="s">
        <v>695</v>
      </c>
    </row>
    <row r="140" spans="2:49" ht="13.5" thickBot="1" x14ac:dyDescent="0.25">
      <c r="Q140" s="151"/>
      <c r="R140" s="461" t="str">
        <f>INDEX(Texte,128,Fischzuchtanlage!$N$2)</f>
        <v>a) keine</v>
      </c>
      <c r="S140" s="1039" t="str">
        <f>INDEX(Texte,129,Fischzuchtanlage!$N$2)</f>
        <v>Durch eine Nachbehandlung des Ablaufwassers kann die Gewässerbelastung reduziert werden (nicht bei Teichanlagen).</v>
      </c>
      <c r="T140" s="1040"/>
      <c r="U140" s="801">
        <v>0</v>
      </c>
      <c r="V140" s="796">
        <v>0</v>
      </c>
      <c r="W140" s="796">
        <v>0</v>
      </c>
      <c r="X140" s="796">
        <v>0</v>
      </c>
      <c r="Y140" s="796">
        <v>0</v>
      </c>
      <c r="Z140" s="796">
        <v>0</v>
      </c>
      <c r="AA140" s="802">
        <v>0</v>
      </c>
      <c r="AB140" s="706">
        <v>1</v>
      </c>
      <c r="AI140" s="41" t="s">
        <v>694</v>
      </c>
    </row>
    <row r="141" spans="2:49" x14ac:dyDescent="0.2">
      <c r="B141" s="707" t="s">
        <v>250</v>
      </c>
      <c r="C141" s="700"/>
      <c r="D141" s="41" t="s">
        <v>970</v>
      </c>
      <c r="Q141" s="151"/>
      <c r="R141" s="461" t="str">
        <f>INDEX(Texte,130,Fischzuchtanlage!$N$2)</f>
        <v>b) Schönungsteich</v>
      </c>
      <c r="S141" s="1041" t="str">
        <f>INDEX(Texte,131,Fischzuchtanlage!$N$2)</f>
        <v>Mit Schönungsteichen können die ungelösten Stoffe (GUS) um etwa 2/3 und die gelösten Stoffe um etwa 1/3 reduziert werden.</v>
      </c>
      <c r="T141" s="1042"/>
      <c r="U141" s="126">
        <v>0.46</v>
      </c>
      <c r="V141" s="793">
        <v>0.3</v>
      </c>
      <c r="W141" s="793">
        <v>0.24</v>
      </c>
      <c r="X141" s="793">
        <v>0.33</v>
      </c>
      <c r="Y141" s="793">
        <v>0.4</v>
      </c>
      <c r="Z141" s="793">
        <v>0.66</v>
      </c>
      <c r="AA141" s="803">
        <v>0.4</v>
      </c>
      <c r="AB141" s="706">
        <v>2</v>
      </c>
      <c r="AL141" s="448" t="s">
        <v>726</v>
      </c>
      <c r="AM141" s="448"/>
      <c r="AN141" s="448"/>
    </row>
    <row r="142" spans="2:49" ht="13.5" thickBot="1" x14ac:dyDescent="0.25">
      <c r="B142" s="49" t="s">
        <v>248</v>
      </c>
      <c r="C142" s="639" t="s">
        <v>228</v>
      </c>
      <c r="Q142" s="151"/>
      <c r="R142" s="461" t="str">
        <f>INDEX(Texte,132,Fischzuchtanlage!$N$2)</f>
        <v>c) Kleinkläranlage (Pflanzenkläranlage, Tropfkörper)</v>
      </c>
      <c r="S142" s="1041" t="str">
        <f>INDEX(Texte,133,Fischzuchtanlage!$N$2)</f>
        <v>Mit einer Kleinkläranlage können Ammonium und GUS um etwa 80% bis 90% reduziert werden, CSB und DOC um etwa 60% und die übrigen gelösten Stoffe um etwa 1/3. (Hydraulische Belastung bei Pfanzenkläranlagen maximal 7 m3/Tag und m2).</v>
      </c>
      <c r="T142" s="1042"/>
      <c r="U142" s="804">
        <v>0.85</v>
      </c>
      <c r="V142" s="805">
        <v>0.3</v>
      </c>
      <c r="W142" s="805">
        <v>0.24</v>
      </c>
      <c r="X142" s="805">
        <v>0.33</v>
      </c>
      <c r="Y142" s="805">
        <v>0.6</v>
      </c>
      <c r="Z142" s="805">
        <v>0.9</v>
      </c>
      <c r="AA142" s="806">
        <v>0.6</v>
      </c>
      <c r="AB142" s="706">
        <v>3</v>
      </c>
      <c r="AI142" s="94" t="s">
        <v>741</v>
      </c>
      <c r="AK142" s="157" t="s">
        <v>609</v>
      </c>
      <c r="AL142" s="157" t="s">
        <v>728</v>
      </c>
    </row>
    <row r="143" spans="2:49" ht="13.5" thickBot="1" x14ac:dyDescent="0.25">
      <c r="B143" s="55" t="s">
        <v>230</v>
      </c>
      <c r="C143" s="708">
        <f>IF(C146*0.77&gt;C136,C136,C146*0.77)</f>
        <v>0.46199999999999997</v>
      </c>
      <c r="D143" s="198"/>
      <c r="Q143" s="143"/>
      <c r="R143" s="478"/>
      <c r="S143" s="478"/>
      <c r="T143" s="478"/>
      <c r="U143" s="478"/>
      <c r="V143" s="478"/>
      <c r="W143" s="478"/>
      <c r="X143" s="478"/>
      <c r="Y143" s="478"/>
      <c r="Z143" s="478"/>
      <c r="AA143" s="478"/>
      <c r="AB143" s="548"/>
      <c r="AI143" s="41" t="s">
        <v>733</v>
      </c>
      <c r="AJ143" s="41" t="s">
        <v>473</v>
      </c>
      <c r="AK143" s="96" t="e">
        <f>AR127*AK102</f>
        <v>#DIV/0!</v>
      </c>
      <c r="AL143" s="96" t="e">
        <f>AS127*AK102</f>
        <v>#DIV/0!</v>
      </c>
    </row>
    <row r="144" spans="2:49" x14ac:dyDescent="0.2">
      <c r="B144" s="49" t="s">
        <v>224</v>
      </c>
      <c r="C144" s="709">
        <f>IF(C146*0.59&gt;C137,C137,C146*0.59)</f>
        <v>0.33</v>
      </c>
      <c r="D144" s="198"/>
      <c r="AI144" s="41" t="s">
        <v>727</v>
      </c>
      <c r="AJ144" s="41" t="s">
        <v>444</v>
      </c>
      <c r="AK144" s="96" t="e">
        <f>AR128*AK102</f>
        <v>#DIV/0!</v>
      </c>
      <c r="AL144" s="96" t="e">
        <f>AS128*AK102</f>
        <v>#DIV/0!</v>
      </c>
    </row>
    <row r="145" spans="2:40" ht="13.5" thickBot="1" x14ac:dyDescent="0.25">
      <c r="B145" s="638" t="s">
        <v>249</v>
      </c>
      <c r="C145" s="709">
        <f>IF(C146*0.65&gt;C138,C138,C146*0.65)</f>
        <v>0.39</v>
      </c>
      <c r="D145" s="198"/>
    </row>
    <row r="146" spans="2:40" ht="13.5" thickBot="1" x14ac:dyDescent="0.25">
      <c r="B146" s="51" t="s">
        <v>90</v>
      </c>
      <c r="C146" s="710">
        <v>0.6</v>
      </c>
      <c r="D146" s="198"/>
      <c r="Q146" s="711"/>
      <c r="R146" s="712" t="str">
        <f>INDEX(Texte,122,Fischzuchtanlage!$N$2)</f>
        <v>d) keine</v>
      </c>
      <c r="S146" s="1061" t="str">
        <f>INDEX(Texte,123,Fischzuchtanlage!$N$2)</f>
        <v>Eine P-Fällung wird nur bei Kreislaufanlagen berücksichtigt.</v>
      </c>
      <c r="T146" s="1062"/>
      <c r="U146" s="807">
        <v>0</v>
      </c>
      <c r="V146" s="807">
        <v>0</v>
      </c>
      <c r="W146" s="807">
        <v>0</v>
      </c>
      <c r="X146" s="807">
        <v>0</v>
      </c>
      <c r="Y146" s="807">
        <v>0</v>
      </c>
      <c r="Z146" s="807">
        <v>0</v>
      </c>
      <c r="AA146" s="807">
        <v>0</v>
      </c>
      <c r="AB146" s="713">
        <v>1</v>
      </c>
      <c r="AI146" s="94" t="s">
        <v>739</v>
      </c>
    </row>
    <row r="147" spans="2:40" ht="13.5" thickBot="1" x14ac:dyDescent="0.25">
      <c r="B147" s="13"/>
      <c r="C147" s="174"/>
      <c r="D147" s="198"/>
      <c r="Q147" s="714"/>
      <c r="R147" s="715" t="str">
        <f>INDEX(Texte,124,Fischzuchtanlage!$N$2)</f>
        <v>e) Phosphorfällung</v>
      </c>
      <c r="S147" s="1059" t="str">
        <f>INDEX(Texte,125,Fischzuchtanlage!$N$2)</f>
        <v>Bei Kreislaufanlagen  kann eine Phosphor-Fällung notwendig sein, insbesondere im Einzugesgebiet der Mittellandseen.</v>
      </c>
      <c r="T147" s="1060"/>
      <c r="U147" s="808">
        <v>0</v>
      </c>
      <c r="V147" s="808">
        <v>0</v>
      </c>
      <c r="W147" s="808">
        <v>0</v>
      </c>
      <c r="X147" s="808">
        <v>0.92</v>
      </c>
      <c r="Y147" s="808">
        <v>0</v>
      </c>
      <c r="Z147" s="808">
        <v>0</v>
      </c>
      <c r="AA147" s="808">
        <v>0</v>
      </c>
      <c r="AB147" s="716">
        <v>2</v>
      </c>
      <c r="AI147" s="94" t="s">
        <v>740</v>
      </c>
      <c r="AK147" s="157" t="s">
        <v>747</v>
      </c>
      <c r="AN147" s="717"/>
    </row>
    <row r="148" spans="2:40" x14ac:dyDescent="0.2">
      <c r="B148" s="94" t="s">
        <v>448</v>
      </c>
      <c r="C148" s="41" t="s">
        <v>938</v>
      </c>
      <c r="AI148" s="41" t="s">
        <v>742</v>
      </c>
      <c r="AJ148" s="41" t="s">
        <v>473</v>
      </c>
      <c r="AK148" s="96" t="e">
        <f>AL143/AN10*AN11/1000</f>
        <v>#DIV/0!</v>
      </c>
    </row>
    <row r="149" spans="2:40" x14ac:dyDescent="0.2">
      <c r="D149" s="41" t="s">
        <v>429</v>
      </c>
      <c r="R149" s="41" t="s">
        <v>1056</v>
      </c>
      <c r="AJ149" s="41" t="s">
        <v>444</v>
      </c>
      <c r="AK149" s="96" t="e">
        <f>AL144/AN10*AN11/1000</f>
        <v>#DIV/0!</v>
      </c>
    </row>
    <row r="150" spans="2:40" x14ac:dyDescent="0.2">
      <c r="B150" s="94" t="s">
        <v>66</v>
      </c>
      <c r="C150" s="94" t="s">
        <v>449</v>
      </c>
      <c r="D150" s="94" t="s">
        <v>453</v>
      </c>
      <c r="E150" s="94" t="s">
        <v>454</v>
      </c>
      <c r="U150" s="5"/>
      <c r="V150" s="5"/>
      <c r="W150" s="5"/>
    </row>
    <row r="151" spans="2:40" x14ac:dyDescent="0.2">
      <c r="B151" s="41" t="s">
        <v>286</v>
      </c>
      <c r="C151" s="157">
        <v>0.16</v>
      </c>
      <c r="D151" s="41">
        <v>0.5</v>
      </c>
      <c r="E151" s="41">
        <v>0.4</v>
      </c>
      <c r="U151" s="5"/>
      <c r="V151" s="602"/>
      <c r="W151" s="5"/>
      <c r="AI151" s="41" t="s">
        <v>748</v>
      </c>
    </row>
    <row r="152" spans="2:40" x14ac:dyDescent="0.2">
      <c r="B152" s="718" t="s">
        <v>451</v>
      </c>
      <c r="C152" s="157">
        <v>0.3</v>
      </c>
      <c r="D152" s="41">
        <v>45</v>
      </c>
      <c r="E152" s="41">
        <v>35</v>
      </c>
      <c r="N152" s="92"/>
      <c r="U152" s="5"/>
      <c r="V152" s="602"/>
      <c r="W152" s="5"/>
      <c r="AI152" s="41" t="s">
        <v>749</v>
      </c>
      <c r="AL152" s="92"/>
    </row>
    <row r="153" spans="2:40" x14ac:dyDescent="0.2">
      <c r="B153" s="41" t="s">
        <v>452</v>
      </c>
      <c r="C153" s="157">
        <v>0.24</v>
      </c>
      <c r="D153" s="41">
        <v>59</v>
      </c>
      <c r="E153" s="41">
        <v>45</v>
      </c>
      <c r="U153" s="5"/>
      <c r="V153" s="602"/>
      <c r="W153" s="5"/>
      <c r="AI153" s="41" t="s">
        <v>750</v>
      </c>
    </row>
    <row r="154" spans="2:40" x14ac:dyDescent="0.2">
      <c r="B154" s="41" t="s">
        <v>444</v>
      </c>
      <c r="C154" s="157">
        <v>0.25</v>
      </c>
      <c r="D154" s="41">
        <v>1.7</v>
      </c>
      <c r="E154" s="41">
        <v>1.2</v>
      </c>
      <c r="R154" s="5"/>
      <c r="U154" s="5"/>
      <c r="V154" s="602"/>
      <c r="W154" s="5"/>
    </row>
    <row r="155" spans="2:40" x14ac:dyDescent="0.2">
      <c r="B155" s="41" t="s">
        <v>225</v>
      </c>
      <c r="C155" s="157">
        <v>0.26</v>
      </c>
      <c r="D155" s="41">
        <v>45</v>
      </c>
      <c r="E155" s="41">
        <v>32</v>
      </c>
      <c r="R155" s="5"/>
      <c r="U155" s="5"/>
      <c r="V155" s="5"/>
      <c r="W155" s="5"/>
    </row>
    <row r="156" spans="2:40" x14ac:dyDescent="0.2">
      <c r="B156" s="41" t="s">
        <v>90</v>
      </c>
      <c r="C156" s="157">
        <v>0.66</v>
      </c>
      <c r="D156" s="41">
        <v>4</v>
      </c>
      <c r="E156" s="41">
        <v>1.4</v>
      </c>
    </row>
    <row r="157" spans="2:40" x14ac:dyDescent="0.2">
      <c r="B157" s="41" t="s">
        <v>255</v>
      </c>
      <c r="C157" s="157">
        <v>0.22</v>
      </c>
      <c r="D157" s="41">
        <v>18</v>
      </c>
      <c r="E157" s="41">
        <v>14</v>
      </c>
    </row>
    <row r="158" spans="2:40" x14ac:dyDescent="0.2">
      <c r="C158" s="157"/>
      <c r="D158" s="157"/>
      <c r="E158" s="157"/>
    </row>
    <row r="159" spans="2:40" x14ac:dyDescent="0.2">
      <c r="C159" s="157"/>
      <c r="D159" s="157"/>
      <c r="E159" s="157"/>
    </row>
    <row r="161" spans="1:16" s="127" customFormat="1" x14ac:dyDescent="0.2">
      <c r="A161" s="453"/>
      <c r="B161" s="454" t="s">
        <v>322</v>
      </c>
      <c r="C161" s="453"/>
      <c r="D161" s="453"/>
      <c r="E161" s="453"/>
      <c r="F161" s="453"/>
      <c r="G161" s="453"/>
      <c r="H161" s="453"/>
      <c r="I161" s="453"/>
      <c r="J161" s="453"/>
      <c r="K161" s="453"/>
      <c r="L161" s="453"/>
      <c r="M161" s="453"/>
      <c r="N161" s="453"/>
      <c r="O161" s="453"/>
      <c r="P161" s="453"/>
    </row>
    <row r="163" spans="1:16" x14ac:dyDescent="0.2">
      <c r="B163" s="94" t="s">
        <v>98</v>
      </c>
      <c r="D163" s="94" t="s">
        <v>99</v>
      </c>
    </row>
    <row r="164" spans="1:16" x14ac:dyDescent="0.2">
      <c r="C164" s="41" t="s">
        <v>96</v>
      </c>
    </row>
    <row r="165" spans="1:16" x14ac:dyDescent="0.2">
      <c r="B165" s="41" t="s">
        <v>91</v>
      </c>
      <c r="C165" s="157">
        <v>150</v>
      </c>
      <c r="D165" s="41" t="s">
        <v>94</v>
      </c>
    </row>
    <row r="166" spans="1:16" x14ac:dyDescent="0.2">
      <c r="B166" s="41" t="s">
        <v>92</v>
      </c>
      <c r="C166" s="157">
        <v>500</v>
      </c>
      <c r="D166" s="41" t="s">
        <v>97</v>
      </c>
    </row>
    <row r="167" spans="1:16" x14ac:dyDescent="0.2">
      <c r="B167" s="41" t="s">
        <v>93</v>
      </c>
      <c r="C167" s="157" t="s">
        <v>95</v>
      </c>
      <c r="D167" s="41" t="s">
        <v>97</v>
      </c>
    </row>
    <row r="169" spans="1:16" s="681" customFormat="1" x14ac:dyDescent="0.2">
      <c r="B169" s="681" t="s">
        <v>323</v>
      </c>
    </row>
    <row r="171" spans="1:16" x14ac:dyDescent="0.2">
      <c r="B171" s="94" t="s">
        <v>102</v>
      </c>
      <c r="C171" s="94" t="s">
        <v>105</v>
      </c>
      <c r="D171" s="94" t="s">
        <v>109</v>
      </c>
    </row>
    <row r="173" spans="1:16" x14ac:dyDescent="0.2">
      <c r="B173" s="94" t="s">
        <v>103</v>
      </c>
      <c r="C173" s="94" t="s">
        <v>106</v>
      </c>
      <c r="D173" s="94" t="s">
        <v>107</v>
      </c>
      <c r="E173" s="94" t="s">
        <v>108</v>
      </c>
    </row>
    <row r="174" spans="1:16" x14ac:dyDescent="0.2">
      <c r="B174" s="41" t="s">
        <v>104</v>
      </c>
      <c r="C174" s="157">
        <v>50</v>
      </c>
      <c r="D174" s="157">
        <v>15</v>
      </c>
      <c r="E174" s="157">
        <v>4.5</v>
      </c>
    </row>
    <row r="175" spans="1:16" x14ac:dyDescent="0.2">
      <c r="C175" s="157"/>
      <c r="D175" s="157"/>
      <c r="E175" s="157"/>
    </row>
    <row r="176" spans="1:16" s="127" customFormat="1" x14ac:dyDescent="0.2">
      <c r="A176" s="453"/>
      <c r="B176" s="454" t="s">
        <v>323</v>
      </c>
      <c r="C176" s="453"/>
      <c r="D176" s="453"/>
      <c r="E176" s="453"/>
      <c r="F176" s="453"/>
      <c r="G176" s="453"/>
      <c r="H176" s="453"/>
      <c r="I176" s="453"/>
      <c r="J176" s="453"/>
      <c r="K176" s="453"/>
      <c r="L176" s="453"/>
      <c r="M176" s="453"/>
      <c r="N176" s="453"/>
      <c r="O176" s="453"/>
      <c r="P176" s="453"/>
    </row>
    <row r="178" spans="2:6" ht="15.75" thickBot="1" x14ac:dyDescent="0.3">
      <c r="B178" s="719" t="s">
        <v>456</v>
      </c>
    </row>
    <row r="179" spans="2:6" x14ac:dyDescent="0.2">
      <c r="B179" s="199" t="s">
        <v>251</v>
      </c>
      <c r="C179" s="164"/>
      <c r="D179" s="164"/>
      <c r="E179" s="136"/>
    </row>
    <row r="180" spans="2:6" ht="13.5" thickBot="1" x14ac:dyDescent="0.25">
      <c r="B180" s="49" t="s">
        <v>252</v>
      </c>
      <c r="C180" s="5"/>
      <c r="D180" s="5"/>
      <c r="E180" s="50"/>
    </row>
    <row r="181" spans="2:6" x14ac:dyDescent="0.2">
      <c r="B181" s="55" t="s">
        <v>253</v>
      </c>
      <c r="C181" s="700"/>
      <c r="D181" s="5"/>
      <c r="E181" s="50"/>
    </row>
    <row r="182" spans="2:6" x14ac:dyDescent="0.2">
      <c r="B182" s="120" t="s">
        <v>230</v>
      </c>
      <c r="C182" s="150">
        <v>1</v>
      </c>
      <c r="D182" s="5"/>
      <c r="E182" s="50"/>
    </row>
    <row r="183" spans="2:6" x14ac:dyDescent="0.2">
      <c r="B183" s="120" t="s">
        <v>231</v>
      </c>
      <c r="C183" s="150">
        <v>0.2</v>
      </c>
      <c r="D183" s="5"/>
      <c r="E183" s="50"/>
    </row>
    <row r="184" spans="2:6" x14ac:dyDescent="0.2">
      <c r="B184" s="120" t="s">
        <v>232</v>
      </c>
      <c r="C184" s="150">
        <v>50</v>
      </c>
      <c r="D184" s="5"/>
      <c r="E184" s="50"/>
    </row>
    <row r="185" spans="2:6" x14ac:dyDescent="0.2">
      <c r="B185" s="120" t="s">
        <v>254</v>
      </c>
      <c r="C185" s="150">
        <v>4</v>
      </c>
      <c r="D185" s="5"/>
      <c r="E185" s="50"/>
    </row>
    <row r="186" spans="2:6" x14ac:dyDescent="0.2">
      <c r="B186" s="120" t="s">
        <v>255</v>
      </c>
      <c r="C186" s="150">
        <v>18</v>
      </c>
      <c r="D186" s="720" t="s">
        <v>256</v>
      </c>
      <c r="E186" s="50"/>
      <c r="F186" s="41" t="s">
        <v>257</v>
      </c>
    </row>
    <row r="187" spans="2:6" x14ac:dyDescent="0.2">
      <c r="B187" s="721" t="s">
        <v>90</v>
      </c>
      <c r="C187" s="150">
        <v>4</v>
      </c>
      <c r="D187" s="722"/>
      <c r="E187" s="50"/>
      <c r="F187" s="41" t="s">
        <v>659</v>
      </c>
    </row>
    <row r="188" spans="2:6" ht="13.5" thickBot="1" x14ac:dyDescent="0.25">
      <c r="B188" s="56" t="s">
        <v>258</v>
      </c>
      <c r="C188" s="160">
        <v>10</v>
      </c>
      <c r="D188" s="155" t="s">
        <v>259</v>
      </c>
      <c r="E188" s="141"/>
    </row>
    <row r="190" spans="2:6" x14ac:dyDescent="0.2">
      <c r="B190" s="41" t="s">
        <v>260</v>
      </c>
    </row>
    <row r="191" spans="2:6" x14ac:dyDescent="0.2">
      <c r="B191" s="41" t="s">
        <v>261</v>
      </c>
    </row>
    <row r="192" spans="2:6" x14ac:dyDescent="0.2">
      <c r="C192" s="157"/>
      <c r="D192" s="157"/>
      <c r="E192" s="157"/>
    </row>
    <row r="193" spans="1:16" x14ac:dyDescent="0.2">
      <c r="C193" s="157"/>
      <c r="D193" s="157"/>
      <c r="E193" s="157"/>
    </row>
    <row r="194" spans="1:16" x14ac:dyDescent="0.2">
      <c r="B194" s="94" t="s">
        <v>446</v>
      </c>
      <c r="C194" s="94" t="s">
        <v>455</v>
      </c>
    </row>
    <row r="195" spans="1:16" x14ac:dyDescent="0.2">
      <c r="D195" s="41" t="s">
        <v>429</v>
      </c>
    </row>
    <row r="196" spans="1:16" x14ac:dyDescent="0.2">
      <c r="B196" s="94" t="s">
        <v>66</v>
      </c>
      <c r="C196" s="94" t="s">
        <v>447</v>
      </c>
      <c r="D196" s="94" t="s">
        <v>453</v>
      </c>
      <c r="E196" s="94" t="s">
        <v>454</v>
      </c>
    </row>
    <row r="197" spans="1:16" x14ac:dyDescent="0.2">
      <c r="B197" s="41" t="s">
        <v>286</v>
      </c>
      <c r="C197" s="41">
        <v>0.45</v>
      </c>
      <c r="D197" s="41">
        <v>0.5</v>
      </c>
      <c r="E197" s="41">
        <v>0.3</v>
      </c>
    </row>
    <row r="198" spans="1:16" x14ac:dyDescent="0.2">
      <c r="B198" s="718" t="s">
        <v>450</v>
      </c>
      <c r="C198" s="41">
        <v>0.06</v>
      </c>
      <c r="D198" s="41">
        <v>0.25</v>
      </c>
      <c r="E198" s="41">
        <v>0.25</v>
      </c>
    </row>
    <row r="199" spans="1:16" x14ac:dyDescent="0.2">
      <c r="B199" s="718" t="s">
        <v>451</v>
      </c>
      <c r="D199" s="41">
        <v>40</v>
      </c>
      <c r="E199" s="41">
        <v>40</v>
      </c>
    </row>
    <row r="200" spans="1:16" x14ac:dyDescent="0.2">
      <c r="B200" s="718"/>
    </row>
    <row r="201" spans="1:16" x14ac:dyDescent="0.2">
      <c r="B201" s="94" t="s">
        <v>553</v>
      </c>
      <c r="C201" s="41" t="s">
        <v>555</v>
      </c>
    </row>
    <row r="202" spans="1:16" x14ac:dyDescent="0.2">
      <c r="B202" s="718" t="s">
        <v>471</v>
      </c>
      <c r="C202" s="41">
        <v>0.98</v>
      </c>
    </row>
    <row r="203" spans="1:16" x14ac:dyDescent="0.2">
      <c r="B203" s="718" t="s">
        <v>472</v>
      </c>
      <c r="C203" s="41">
        <v>0.45</v>
      </c>
    </row>
    <row r="204" spans="1:16" x14ac:dyDescent="0.2">
      <c r="B204" s="718" t="s">
        <v>554</v>
      </c>
      <c r="C204" s="41">
        <v>0.25</v>
      </c>
    </row>
    <row r="205" spans="1:16" x14ac:dyDescent="0.2">
      <c r="B205" s="718"/>
    </row>
    <row r="206" spans="1:16" x14ac:dyDescent="0.2">
      <c r="A206" s="525"/>
      <c r="B206" s="723"/>
      <c r="C206" s="525"/>
      <c r="D206" s="525"/>
      <c r="E206" s="525"/>
      <c r="F206" s="525"/>
      <c r="G206" s="525"/>
      <c r="H206" s="525"/>
      <c r="I206" s="525"/>
      <c r="J206" s="525"/>
      <c r="K206" s="525"/>
      <c r="L206" s="525"/>
      <c r="M206" s="525"/>
      <c r="N206" s="525"/>
      <c r="O206" s="525"/>
      <c r="P206" s="525"/>
    </row>
    <row r="207" spans="1:16" x14ac:dyDescent="0.2">
      <c r="B207" s="94" t="s">
        <v>556</v>
      </c>
      <c r="D207" s="41" t="s">
        <v>557</v>
      </c>
    </row>
    <row r="208" spans="1:16" x14ac:dyDescent="0.2">
      <c r="B208" s="718" t="s">
        <v>558</v>
      </c>
    </row>
    <row r="209" spans="2:32" x14ac:dyDescent="0.2">
      <c r="B209" s="718" t="s">
        <v>559</v>
      </c>
      <c r="Q209" s="5"/>
      <c r="R209" s="5"/>
      <c r="S209" s="5"/>
      <c r="T209" s="5"/>
      <c r="U209" s="5"/>
    </row>
    <row r="210" spans="2:32" x14ac:dyDescent="0.2">
      <c r="B210" s="718" t="s">
        <v>560</v>
      </c>
      <c r="U210" s="5"/>
      <c r="W210" s="13"/>
      <c r="X210" s="13"/>
      <c r="Y210" s="13"/>
      <c r="Z210" s="13"/>
      <c r="AA210" s="13"/>
      <c r="AB210" s="13"/>
      <c r="AC210" s="13"/>
      <c r="AD210" s="13"/>
      <c r="AE210" s="13"/>
      <c r="AF210" s="13"/>
    </row>
    <row r="211" spans="2:32" x14ac:dyDescent="0.2">
      <c r="B211" s="718"/>
      <c r="U211" s="5"/>
      <c r="W211" s="13"/>
      <c r="X211" s="13"/>
      <c r="Y211" s="13"/>
      <c r="Z211" s="13"/>
      <c r="AA211" s="13"/>
      <c r="AB211" s="13"/>
      <c r="AC211" s="13"/>
      <c r="AD211" s="13"/>
      <c r="AE211" s="13"/>
      <c r="AF211" s="13"/>
    </row>
    <row r="212" spans="2:32" x14ac:dyDescent="0.2">
      <c r="B212" s="718" t="s">
        <v>658</v>
      </c>
      <c r="U212" s="5"/>
      <c r="W212" s="13"/>
      <c r="X212" s="8"/>
      <c r="Y212" s="8"/>
      <c r="Z212" s="14"/>
      <c r="AA212" s="724"/>
      <c r="AB212" s="13"/>
      <c r="AC212" s="14"/>
      <c r="AD212" s="724"/>
      <c r="AE212" s="13"/>
      <c r="AF212" s="13"/>
    </row>
    <row r="213" spans="2:32" x14ac:dyDescent="0.2">
      <c r="B213" s="718" t="s">
        <v>565</v>
      </c>
      <c r="U213" s="5"/>
      <c r="W213" s="13"/>
      <c r="X213" s="8"/>
      <c r="Y213" s="8"/>
      <c r="Z213" s="555"/>
      <c r="AA213" s="555"/>
      <c r="AB213" s="14"/>
      <c r="AC213" s="555"/>
      <c r="AD213" s="555"/>
      <c r="AE213" s="13"/>
      <c r="AF213" s="13"/>
    </row>
    <row r="214" spans="2:32" x14ac:dyDescent="0.2">
      <c r="U214" s="5"/>
      <c r="W214" s="13"/>
      <c r="X214" s="13"/>
      <c r="Y214" s="13"/>
      <c r="Z214" s="13"/>
      <c r="AA214" s="13"/>
      <c r="AB214" s="13"/>
      <c r="AC214" s="13"/>
      <c r="AD214" s="13"/>
      <c r="AE214" s="13"/>
      <c r="AF214" s="13"/>
    </row>
    <row r="215" spans="2:32" x14ac:dyDescent="0.2">
      <c r="B215" s="41" t="s">
        <v>566</v>
      </c>
      <c r="U215" s="5"/>
      <c r="W215" s="13"/>
      <c r="X215" s="8"/>
      <c r="Y215" s="8"/>
      <c r="Z215" s="555"/>
      <c r="AA215" s="555"/>
      <c r="AB215" s="14"/>
      <c r="AC215" s="555"/>
      <c r="AD215" s="575"/>
      <c r="AE215" s="13"/>
      <c r="AF215" s="13"/>
    </row>
    <row r="216" spans="2:32" x14ac:dyDescent="0.2">
      <c r="B216" s="41" t="s">
        <v>567</v>
      </c>
      <c r="U216" s="5"/>
      <c r="W216" s="13"/>
      <c r="X216" s="8"/>
      <c r="Y216" s="8"/>
      <c r="Z216" s="555"/>
      <c r="AA216" s="555"/>
      <c r="AB216" s="14"/>
      <c r="AC216" s="555"/>
      <c r="AD216" s="555"/>
      <c r="AE216" s="13"/>
      <c r="AF216" s="13"/>
    </row>
    <row r="217" spans="2:32" x14ac:dyDescent="0.2">
      <c r="U217" s="5"/>
      <c r="W217" s="13"/>
      <c r="X217" s="8"/>
      <c r="Y217" s="8"/>
      <c r="Z217" s="13"/>
      <c r="AA217" s="555"/>
      <c r="AB217" s="14"/>
      <c r="AC217" s="13"/>
      <c r="AD217" s="555"/>
      <c r="AE217" s="13"/>
      <c r="AF217" s="13"/>
    </row>
    <row r="218" spans="2:32" ht="13.5" thickBot="1" x14ac:dyDescent="0.25">
      <c r="B218" s="41" t="s">
        <v>569</v>
      </c>
      <c r="W218" s="13"/>
      <c r="X218" s="8"/>
      <c r="Y218" s="8"/>
      <c r="Z218" s="13"/>
      <c r="AA218" s="13"/>
      <c r="AB218" s="13"/>
      <c r="AC218" s="13"/>
      <c r="AD218" s="13"/>
      <c r="AE218" s="13"/>
      <c r="AF218" s="13"/>
    </row>
    <row r="219" spans="2:32" x14ac:dyDescent="0.2">
      <c r="B219" s="41" t="s">
        <v>570</v>
      </c>
      <c r="Q219" s="129"/>
      <c r="R219" s="456"/>
      <c r="S219" s="456"/>
      <c r="T219" s="130"/>
      <c r="AD219" s="13"/>
      <c r="AE219" s="13"/>
      <c r="AF219" s="13"/>
    </row>
    <row r="220" spans="2:32" x14ac:dyDescent="0.2">
      <c r="B220" s="41" t="s">
        <v>571</v>
      </c>
      <c r="Q220" s="151"/>
      <c r="R220" s="460" t="s">
        <v>646</v>
      </c>
      <c r="S220" s="459"/>
      <c r="T220" s="132"/>
    </row>
    <row r="221" spans="2:32" x14ac:dyDescent="0.2">
      <c r="Q221" s="151"/>
      <c r="R221" s="725"/>
      <c r="S221" s="725"/>
      <c r="T221" s="726" t="s">
        <v>572</v>
      </c>
    </row>
    <row r="222" spans="2:32" x14ac:dyDescent="0.2">
      <c r="B222" s="718" t="s">
        <v>561</v>
      </c>
      <c r="Q222" s="151"/>
      <c r="R222" s="727" t="s">
        <v>286</v>
      </c>
      <c r="S222" s="728" t="s">
        <v>269</v>
      </c>
      <c r="T222" s="809">
        <v>1</v>
      </c>
    </row>
    <row r="223" spans="2:32" x14ac:dyDescent="0.2">
      <c r="B223" s="729" t="s">
        <v>562</v>
      </c>
      <c r="C223" s="730" t="s">
        <v>568</v>
      </c>
      <c r="Q223" s="151"/>
      <c r="R223" s="727" t="s">
        <v>450</v>
      </c>
      <c r="S223" s="728" t="s">
        <v>269</v>
      </c>
      <c r="T223" s="809">
        <v>1</v>
      </c>
    </row>
    <row r="224" spans="2:32" x14ac:dyDescent="0.2">
      <c r="B224" s="729" t="s">
        <v>450</v>
      </c>
      <c r="C224" s="127" t="s">
        <v>563</v>
      </c>
      <c r="Q224" s="151"/>
      <c r="R224" s="727" t="s">
        <v>255</v>
      </c>
      <c r="S224" s="728" t="s">
        <v>269</v>
      </c>
      <c r="T224" s="810">
        <v>18</v>
      </c>
    </row>
    <row r="225" spans="1:23" x14ac:dyDescent="0.2">
      <c r="B225" s="718" t="s">
        <v>451</v>
      </c>
      <c r="C225" s="41" t="s">
        <v>564</v>
      </c>
      <c r="Q225" s="151"/>
      <c r="R225" s="727" t="s">
        <v>90</v>
      </c>
      <c r="S225" s="728" t="s">
        <v>269</v>
      </c>
      <c r="T225" s="810">
        <v>4</v>
      </c>
    </row>
    <row r="226" spans="1:23" ht="13.5" thickBot="1" x14ac:dyDescent="0.25">
      <c r="Q226" s="143"/>
      <c r="R226" s="478" t="s">
        <v>660</v>
      </c>
      <c r="S226" s="478"/>
      <c r="T226" s="144"/>
      <c r="V226" s="731"/>
      <c r="W226" s="731"/>
    </row>
    <row r="230" spans="1:23" x14ac:dyDescent="0.2">
      <c r="C230" s="157"/>
      <c r="D230" s="157"/>
      <c r="E230" s="157"/>
    </row>
    <row r="231" spans="1:23" x14ac:dyDescent="0.2">
      <c r="C231" s="157"/>
      <c r="D231" s="157"/>
      <c r="E231" s="157"/>
    </row>
    <row r="232" spans="1:23" x14ac:dyDescent="0.2">
      <c r="C232" s="157"/>
      <c r="D232" s="157"/>
      <c r="E232" s="157"/>
    </row>
    <row r="233" spans="1:23" x14ac:dyDescent="0.2">
      <c r="C233" s="157"/>
      <c r="D233" s="157"/>
      <c r="E233" s="157"/>
    </row>
    <row r="234" spans="1:23" x14ac:dyDescent="0.2">
      <c r="C234" s="157"/>
      <c r="D234" s="157"/>
      <c r="E234" s="157"/>
    </row>
    <row r="235" spans="1:23" x14ac:dyDescent="0.2">
      <c r="A235" s="525"/>
      <c r="B235" s="525"/>
      <c r="C235" s="525"/>
      <c r="D235" s="525"/>
      <c r="E235" s="525"/>
      <c r="F235" s="525"/>
      <c r="G235" s="525"/>
      <c r="H235" s="525"/>
      <c r="I235" s="525"/>
      <c r="J235" s="525"/>
      <c r="K235" s="525"/>
      <c r="L235" s="525"/>
      <c r="M235" s="525"/>
      <c r="N235" s="525"/>
      <c r="O235" s="525"/>
      <c r="P235" s="525"/>
    </row>
    <row r="236" spans="1:23" x14ac:dyDescent="0.2">
      <c r="C236" s="157"/>
      <c r="D236" s="157"/>
      <c r="E236" s="157"/>
    </row>
    <row r="237" spans="1:23" ht="13.5" thickBot="1" x14ac:dyDescent="0.25">
      <c r="B237" s="94" t="s">
        <v>426</v>
      </c>
      <c r="C237" s="157"/>
      <c r="E237" s="157"/>
    </row>
    <row r="238" spans="1:23" x14ac:dyDescent="0.2">
      <c r="C238" s="157"/>
      <c r="D238" s="157"/>
      <c r="E238" s="157"/>
      <c r="Q238" s="129"/>
      <c r="R238" s="456"/>
      <c r="S238" s="456"/>
      <c r="T238" s="456"/>
      <c r="U238" s="130"/>
    </row>
    <row r="239" spans="1:23" x14ac:dyDescent="0.2">
      <c r="B239" s="732" t="s">
        <v>428</v>
      </c>
      <c r="C239" s="157"/>
      <c r="D239" s="157"/>
      <c r="E239" s="157"/>
      <c r="Q239" s="151"/>
      <c r="R239" s="459" t="s">
        <v>1022</v>
      </c>
      <c r="S239" s="459"/>
      <c r="T239" s="459" t="s">
        <v>1024</v>
      </c>
      <c r="U239" s="132"/>
    </row>
    <row r="240" spans="1:23" x14ac:dyDescent="0.2">
      <c r="B240" s="41" t="s">
        <v>427</v>
      </c>
      <c r="C240" s="157"/>
      <c r="D240" s="157"/>
      <c r="E240" s="157"/>
      <c r="Q240" s="151"/>
      <c r="R240" s="1055" t="str">
        <f>INDEX(Texte,19,Fischzuchtanlage!$N$2)</f>
        <v>nicht im Einzugsgebiet der Mittellandseen des Kantons LU</v>
      </c>
      <c r="S240" s="1056"/>
      <c r="T240" s="469"/>
      <c r="U240" s="132"/>
    </row>
    <row r="241" spans="2:21" x14ac:dyDescent="0.2">
      <c r="C241" s="157"/>
      <c r="D241" s="157"/>
      <c r="E241" s="157"/>
      <c r="Q241" s="151"/>
      <c r="R241" s="1057" t="str">
        <f>INDEX(Texte,20,Fischzuchtanlage!$N$2)</f>
        <v>im Einzugsgebiet des Baldegger- oder Hallwilersees</v>
      </c>
      <c r="S241" s="1058"/>
      <c r="T241" s="825">
        <v>5</v>
      </c>
      <c r="U241" s="132"/>
    </row>
    <row r="242" spans="2:21" x14ac:dyDescent="0.2">
      <c r="Q242" s="151"/>
      <c r="R242" s="1057" t="str">
        <f>INDEX(Texte,21,Fischzuchtanlage!$N$2)</f>
        <v>im Einzugsgebiet des Sempachersees</v>
      </c>
      <c r="S242" s="1058"/>
      <c r="T242" s="825">
        <v>15</v>
      </c>
      <c r="U242" s="132"/>
    </row>
    <row r="243" spans="2:21" ht="13.5" thickBot="1" x14ac:dyDescent="0.25">
      <c r="Q243" s="143"/>
      <c r="R243" s="478"/>
      <c r="S243" s="478"/>
      <c r="T243" s="478"/>
      <c r="U243" s="144"/>
    </row>
    <row r="244" spans="2:21" x14ac:dyDescent="0.2">
      <c r="B244" s="446"/>
    </row>
    <row r="247" spans="2:21" x14ac:dyDescent="0.2">
      <c r="O247" s="733"/>
    </row>
    <row r="248" spans="2:21" x14ac:dyDescent="0.2">
      <c r="O248" s="733"/>
    </row>
    <row r="249" spans="2:21" x14ac:dyDescent="0.2">
      <c r="O249" s="733"/>
    </row>
    <row r="251" spans="2:21" x14ac:dyDescent="0.2">
      <c r="D251" s="41" t="s">
        <v>442</v>
      </c>
      <c r="E251" s="734"/>
    </row>
    <row r="260" spans="2:10" x14ac:dyDescent="0.2">
      <c r="J260" s="41" t="s">
        <v>431</v>
      </c>
    </row>
    <row r="261" spans="2:10" x14ac:dyDescent="0.2">
      <c r="D261" s="41" t="s">
        <v>430</v>
      </c>
    </row>
    <row r="266" spans="2:10" x14ac:dyDescent="0.2">
      <c r="B266" s="735" t="s">
        <v>680</v>
      </c>
    </row>
    <row r="267" spans="2:10" x14ac:dyDescent="0.2">
      <c r="B267" s="41" t="s">
        <v>432</v>
      </c>
    </row>
    <row r="269" spans="2:10" x14ac:dyDescent="0.2">
      <c r="B269" s="736" t="s">
        <v>433</v>
      </c>
    </row>
    <row r="270" spans="2:10" x14ac:dyDescent="0.2">
      <c r="B270" s="41" t="s">
        <v>434</v>
      </c>
    </row>
    <row r="271" spans="2:10" x14ac:dyDescent="0.2">
      <c r="B271" s="41" t="s">
        <v>438</v>
      </c>
    </row>
    <row r="272" spans="2:10" x14ac:dyDescent="0.2">
      <c r="B272" s="41" t="s">
        <v>435</v>
      </c>
    </row>
    <row r="273" spans="2:2" x14ac:dyDescent="0.2">
      <c r="B273" s="41" t="s">
        <v>439</v>
      </c>
    </row>
    <row r="274" spans="2:2" x14ac:dyDescent="0.2">
      <c r="B274" s="41" t="s">
        <v>436</v>
      </c>
    </row>
    <row r="275" spans="2:2" x14ac:dyDescent="0.2">
      <c r="B275" s="41" t="s">
        <v>437</v>
      </c>
    </row>
    <row r="277" spans="2:2" x14ac:dyDescent="0.2">
      <c r="B277" s="737" t="s">
        <v>440</v>
      </c>
    </row>
    <row r="278" spans="2:2" x14ac:dyDescent="0.2">
      <c r="B278" s="41" t="s">
        <v>441</v>
      </c>
    </row>
    <row r="279" spans="2:2" x14ac:dyDescent="0.2">
      <c r="B279" s="41" t="s">
        <v>443</v>
      </c>
    </row>
    <row r="283" spans="2:2" x14ac:dyDescent="0.2">
      <c r="B283" s="94" t="s">
        <v>457</v>
      </c>
    </row>
    <row r="284" spans="2:2" x14ac:dyDescent="0.2">
      <c r="B284" s="41" t="s">
        <v>458</v>
      </c>
    </row>
    <row r="285" spans="2:2" x14ac:dyDescent="0.2">
      <c r="B285" s="41" t="s">
        <v>459</v>
      </c>
    </row>
    <row r="286" spans="2:2" x14ac:dyDescent="0.2">
      <c r="B286" s="41" t="s">
        <v>460</v>
      </c>
    </row>
    <row r="287" spans="2:2" x14ac:dyDescent="0.2">
      <c r="B287" s="41" t="s">
        <v>461</v>
      </c>
    </row>
    <row r="288" spans="2:2" x14ac:dyDescent="0.2">
      <c r="B288" s="41" t="s">
        <v>462</v>
      </c>
    </row>
    <row r="289" spans="2:5" x14ac:dyDescent="0.2">
      <c r="B289" s="41" t="s">
        <v>463</v>
      </c>
    </row>
    <row r="290" spans="2:5" x14ac:dyDescent="0.2">
      <c r="B290" s="41" t="s">
        <v>464</v>
      </c>
    </row>
    <row r="291" spans="2:5" x14ac:dyDescent="0.2">
      <c r="B291" s="41" t="s">
        <v>465</v>
      </c>
    </row>
    <row r="292" spans="2:5" x14ac:dyDescent="0.2">
      <c r="B292" s="41" t="s">
        <v>469</v>
      </c>
    </row>
    <row r="293" spans="2:5" x14ac:dyDescent="0.2">
      <c r="B293" s="41" t="s">
        <v>474</v>
      </c>
    </row>
    <row r="298" spans="2:5" x14ac:dyDescent="0.2">
      <c r="B298" s="41" t="s">
        <v>466</v>
      </c>
    </row>
    <row r="299" spans="2:5" x14ac:dyDescent="0.2">
      <c r="B299" s="41" t="s">
        <v>467</v>
      </c>
      <c r="D299" s="41" t="s">
        <v>468</v>
      </c>
    </row>
    <row r="302" spans="2:5" x14ac:dyDescent="0.2">
      <c r="B302" s="94" t="s">
        <v>710</v>
      </c>
    </row>
    <row r="303" spans="2:5" x14ac:dyDescent="0.2">
      <c r="B303" s="94" t="s">
        <v>703</v>
      </c>
      <c r="C303" s="94" t="s">
        <v>704</v>
      </c>
      <c r="D303" s="94" t="s">
        <v>704</v>
      </c>
      <c r="E303" s="94" t="s">
        <v>709</v>
      </c>
    </row>
    <row r="305" spans="2:5" x14ac:dyDescent="0.2">
      <c r="B305" s="94" t="s">
        <v>705</v>
      </c>
      <c r="C305" s="41" t="s">
        <v>708</v>
      </c>
    </row>
    <row r="306" spans="2:5" x14ac:dyDescent="0.2">
      <c r="B306" s="41" t="s">
        <v>225</v>
      </c>
      <c r="C306" s="41">
        <v>262</v>
      </c>
      <c r="D306" s="41">
        <v>104</v>
      </c>
    </row>
    <row r="307" spans="2:5" x14ac:dyDescent="0.2">
      <c r="B307" s="41" t="s">
        <v>255</v>
      </c>
      <c r="C307" s="41">
        <v>11.6</v>
      </c>
      <c r="E307" s="41">
        <v>18</v>
      </c>
    </row>
    <row r="308" spans="2:5" x14ac:dyDescent="0.2">
      <c r="B308" s="41" t="s">
        <v>231</v>
      </c>
      <c r="C308" s="41">
        <v>1.43</v>
      </c>
      <c r="D308" s="41">
        <v>1.3580000000000001</v>
      </c>
    </row>
    <row r="309" spans="2:5" x14ac:dyDescent="0.2">
      <c r="B309" s="41" t="s">
        <v>230</v>
      </c>
      <c r="C309" s="41">
        <v>1.22</v>
      </c>
      <c r="D309" s="41">
        <v>0.63</v>
      </c>
      <c r="E309" s="41">
        <v>2</v>
      </c>
    </row>
    <row r="310" spans="2:5" x14ac:dyDescent="0.2">
      <c r="B310" s="41" t="s">
        <v>706</v>
      </c>
      <c r="C310" s="41">
        <v>66.7</v>
      </c>
      <c r="D310" s="41">
        <v>20</v>
      </c>
      <c r="E310" s="41">
        <v>29.6</v>
      </c>
    </row>
    <row r="311" spans="2:5" x14ac:dyDescent="0.2">
      <c r="B311" s="41" t="s">
        <v>707</v>
      </c>
      <c r="C311" s="41">
        <v>6.84</v>
      </c>
      <c r="D311" s="41">
        <v>3.25</v>
      </c>
      <c r="E311" s="41">
        <v>6.6</v>
      </c>
    </row>
    <row r="312" spans="2:5" x14ac:dyDescent="0.2">
      <c r="B312" s="41" t="s">
        <v>712</v>
      </c>
      <c r="E312" s="41">
        <v>9.3000000000000007</v>
      </c>
    </row>
    <row r="313" spans="2:5" x14ac:dyDescent="0.2">
      <c r="B313" s="41" t="s">
        <v>90</v>
      </c>
      <c r="C313" s="41">
        <v>123.3</v>
      </c>
      <c r="D313" s="41">
        <v>99</v>
      </c>
      <c r="E313" s="41">
        <v>4</v>
      </c>
    </row>
    <row r="315" spans="2:5" x14ac:dyDescent="0.2">
      <c r="B315" s="94" t="s">
        <v>711</v>
      </c>
    </row>
    <row r="317" spans="2:5" x14ac:dyDescent="0.2">
      <c r="B317" s="41" t="s">
        <v>230</v>
      </c>
      <c r="C317" s="41">
        <v>0.12</v>
      </c>
    </row>
    <row r="318" spans="2:5" x14ac:dyDescent="0.2">
      <c r="B318" s="41" t="s">
        <v>254</v>
      </c>
      <c r="C318" s="41">
        <v>1</v>
      </c>
    </row>
    <row r="319" spans="2:5" x14ac:dyDescent="0.2">
      <c r="B319" s="41" t="s">
        <v>225</v>
      </c>
      <c r="C319" s="41">
        <v>13.5</v>
      </c>
    </row>
    <row r="321" spans="2:2" x14ac:dyDescent="0.2">
      <c r="B321" s="94" t="s">
        <v>713</v>
      </c>
    </row>
  </sheetData>
  <sheetProtection password="D65F" sheet="1" objects="1" scenarios="1"/>
  <sortState ref="R105:AB108">
    <sortCondition ref="R105"/>
  </sortState>
  <customSheetViews>
    <customSheetView guid="{2A376E74-9008-4CC4-AF78-5E9088D4FA1D}" state="hidden">
      <pageMargins left="0.7" right="0.7" top="0.78740157499999996" bottom="0.78740157499999996" header="0.3" footer="0.3"/>
    </customSheetView>
  </customSheetViews>
  <mergeCells count="85">
    <mergeCell ref="R240:S240"/>
    <mergeCell ref="R241:S241"/>
    <mergeCell ref="R242:S242"/>
    <mergeCell ref="S147:T147"/>
    <mergeCell ref="S146:T146"/>
    <mergeCell ref="S140:T140"/>
    <mergeCell ref="S142:T142"/>
    <mergeCell ref="U25:V25"/>
    <mergeCell ref="S76:T76"/>
    <mergeCell ref="S77:T77"/>
    <mergeCell ref="S78:T78"/>
    <mergeCell ref="S107:T107"/>
    <mergeCell ref="S108:T108"/>
    <mergeCell ref="S141:T141"/>
    <mergeCell ref="S105:T105"/>
    <mergeCell ref="S106:T106"/>
    <mergeCell ref="S104:T104"/>
    <mergeCell ref="S139:T139"/>
    <mergeCell ref="AI133:AL133"/>
    <mergeCell ref="AJ11:AL11"/>
    <mergeCell ref="AJ14:AL14"/>
    <mergeCell ref="AJ16:AM16"/>
    <mergeCell ref="AJ17:AM17"/>
    <mergeCell ref="AJ18:AM18"/>
    <mergeCell ref="AK45:AL45"/>
    <mergeCell ref="AM112:AN114"/>
    <mergeCell ref="AJ119:AL119"/>
    <mergeCell ref="AJ120:AL120"/>
    <mergeCell ref="AJ21:AM21"/>
    <mergeCell ref="AJ121:AL121"/>
    <mergeCell ref="AK74:AL74"/>
    <mergeCell ref="AK81:AL81"/>
    <mergeCell ref="AR12:AS12"/>
    <mergeCell ref="AR13:AS13"/>
    <mergeCell ref="AT82:AU82"/>
    <mergeCell ref="AT79:AU79"/>
    <mergeCell ref="AT78:AU78"/>
    <mergeCell ref="AO16:AR16"/>
    <mergeCell ref="AO20:AR20"/>
    <mergeCell ref="AO19:AR19"/>
    <mergeCell ref="AN45:AO45"/>
    <mergeCell ref="AN81:AQ81"/>
    <mergeCell ref="AN74:AO74"/>
    <mergeCell ref="D72:H73"/>
    <mergeCell ref="A17:A92"/>
    <mergeCell ref="S21:T21"/>
    <mergeCell ref="S22:T22"/>
    <mergeCell ref="S23:T23"/>
    <mergeCell ref="S24:T24"/>
    <mergeCell ref="S25:T25"/>
    <mergeCell ref="S29:T29"/>
    <mergeCell ref="S30:T30"/>
    <mergeCell ref="S28:T28"/>
    <mergeCell ref="AR7:AS7"/>
    <mergeCell ref="AR10:AS10"/>
    <mergeCell ref="AK29:AL29"/>
    <mergeCell ref="AN29:AO29"/>
    <mergeCell ref="U21:V21"/>
    <mergeCell ref="U22:V22"/>
    <mergeCell ref="U23:V23"/>
    <mergeCell ref="AJ7:AL7"/>
    <mergeCell ref="AJ8:AL8"/>
    <mergeCell ref="AJ9:AL9"/>
    <mergeCell ref="AJ10:AL10"/>
    <mergeCell ref="AJ12:AL12"/>
    <mergeCell ref="AR11:AS11"/>
    <mergeCell ref="AJ13:AL13"/>
    <mergeCell ref="AO15:AR15"/>
    <mergeCell ref="AJ20:AM20"/>
    <mergeCell ref="BG81:BH81"/>
    <mergeCell ref="BF74:BF76"/>
    <mergeCell ref="BI74:BI76"/>
    <mergeCell ref="BG74:BH74"/>
    <mergeCell ref="BD74:BE74"/>
    <mergeCell ref="AV48:AW48"/>
    <mergeCell ref="AS48:AT48"/>
    <mergeCell ref="AO21:AR21"/>
    <mergeCell ref="BD81:BE81"/>
    <mergeCell ref="AZ45:BA45"/>
    <mergeCell ref="BC45:BD45"/>
    <mergeCell ref="AV74:AW74"/>
    <mergeCell ref="AY74:AZ74"/>
    <mergeCell ref="AT80:AU80"/>
    <mergeCell ref="AT75:AU77"/>
    <mergeCell ref="AT81:AU81"/>
  </mergeCells>
  <pageMargins left="0.7" right="0.7" top="0.78740157499999996" bottom="0.78740157499999996"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P96"/>
  <sheetViews>
    <sheetView workbookViewId="0"/>
  </sheetViews>
  <sheetFormatPr baseColWidth="10" defaultRowHeight="12.75" x14ac:dyDescent="0.2"/>
  <cols>
    <col min="1" max="1" width="29.140625" style="41" customWidth="1"/>
    <col min="2" max="2" width="11.42578125" style="41"/>
    <col min="3" max="3" width="13.7109375" style="41" customWidth="1"/>
    <col min="4" max="4" width="12.85546875" style="41" customWidth="1"/>
    <col min="5" max="6" width="11.42578125" style="41"/>
    <col min="7" max="11" width="11.42578125" style="127"/>
    <col min="12" max="12" width="14.85546875" style="41" customWidth="1"/>
    <col min="13" max="13" width="14.42578125" style="41" customWidth="1"/>
    <col min="14" max="14" width="15.42578125" style="41" customWidth="1"/>
    <col min="15" max="15" width="21.7109375" style="41" customWidth="1"/>
    <col min="16" max="16" width="18.28515625" style="41" customWidth="1"/>
    <col min="17" max="16384" width="11.42578125" style="41"/>
  </cols>
  <sheetData>
    <row r="2" spans="1:16" x14ac:dyDescent="0.2">
      <c r="L2" s="128" t="s">
        <v>262</v>
      </c>
      <c r="O2" s="128"/>
    </row>
    <row r="3" spans="1:16" ht="13.5" thickBot="1" x14ac:dyDescent="0.25"/>
    <row r="4" spans="1:16" x14ac:dyDescent="0.2">
      <c r="A4" s="129"/>
      <c r="B4" s="130"/>
      <c r="C4" s="13"/>
      <c r="D4" s="13"/>
      <c r="E4" s="13"/>
      <c r="L4" s="128" t="s">
        <v>263</v>
      </c>
      <c r="O4" s="128"/>
    </row>
    <row r="5" spans="1:16" ht="13.5" thickBot="1" x14ac:dyDescent="0.25">
      <c r="A5" s="131" t="s">
        <v>533</v>
      </c>
      <c r="B5" s="132"/>
      <c r="C5" s="13"/>
      <c r="D5" s="13"/>
      <c r="E5" s="13"/>
    </row>
    <row r="6" spans="1:16" x14ac:dyDescent="0.2">
      <c r="A6" s="133" t="str">
        <f>INDEX(Texte,73,Fischzuchtanlage!$N$2)</f>
        <v>Schätzung</v>
      </c>
      <c r="B6" s="132"/>
      <c r="C6" s="13"/>
      <c r="D6" s="13"/>
      <c r="E6" s="13"/>
      <c r="L6" s="134" t="s">
        <v>264</v>
      </c>
      <c r="M6" s="135" t="s">
        <v>265</v>
      </c>
      <c r="N6" s="136" t="s">
        <v>266</v>
      </c>
      <c r="O6" s="136" t="s">
        <v>267</v>
      </c>
      <c r="P6" s="137" t="s">
        <v>268</v>
      </c>
    </row>
    <row r="7" spans="1:16" ht="13.5" thickBot="1" x14ac:dyDescent="0.25">
      <c r="A7" s="133" t="str">
        <f>INDEX(Texte,74,Fischzuchtanlage!$N$2)</f>
        <v>Messung</v>
      </c>
      <c r="B7" s="132"/>
      <c r="C7" s="13"/>
      <c r="D7" s="13"/>
      <c r="E7" s="13"/>
      <c r="L7" s="138" t="s">
        <v>269</v>
      </c>
      <c r="M7" s="139" t="s">
        <v>270</v>
      </c>
      <c r="N7" s="140" t="s">
        <v>269</v>
      </c>
      <c r="O7" s="141"/>
      <c r="P7" s="142"/>
    </row>
    <row r="8" spans="1:16" ht="13.5" thickBot="1" x14ac:dyDescent="0.25">
      <c r="A8" s="143"/>
      <c r="B8" s="144"/>
      <c r="C8" s="13"/>
      <c r="D8" s="13"/>
      <c r="E8" s="13"/>
      <c r="L8" s="55">
        <v>0</v>
      </c>
      <c r="M8" s="145">
        <v>0.999</v>
      </c>
      <c r="N8" s="146"/>
      <c r="O8" s="136" t="str">
        <f>INDEX(Texte,88,Fischzuchtanlage!$N$2)</f>
        <v>sehr gut</v>
      </c>
      <c r="P8" s="147">
        <v>1</v>
      </c>
    </row>
    <row r="9" spans="1:16" ht="13.5" thickBot="1" x14ac:dyDescent="0.25">
      <c r="L9" s="49">
        <v>1</v>
      </c>
      <c r="M9" s="148">
        <v>1.9990000000000001</v>
      </c>
      <c r="N9" s="149">
        <v>1.5</v>
      </c>
      <c r="O9" s="50" t="str">
        <f>INDEX(Texte,89,Fischzuchtanlage!$N$2)</f>
        <v>gut</v>
      </c>
      <c r="P9" s="150">
        <v>2</v>
      </c>
    </row>
    <row r="10" spans="1:16" x14ac:dyDescent="0.2">
      <c r="A10" s="129"/>
      <c r="B10" s="130"/>
      <c r="L10" s="49">
        <v>2</v>
      </c>
      <c r="M10" s="148">
        <v>2.9990000000000001</v>
      </c>
      <c r="N10" s="149">
        <v>2.5</v>
      </c>
      <c r="O10" s="50" t="str">
        <f>INDEX(Texte,90,Fischzuchtanlage!$N$2)</f>
        <v>mässig</v>
      </c>
      <c r="P10" s="150">
        <v>3</v>
      </c>
    </row>
    <row r="11" spans="1:16" x14ac:dyDescent="0.2">
      <c r="A11" s="151" t="s">
        <v>537</v>
      </c>
      <c r="B11" s="132"/>
      <c r="L11" s="49">
        <v>3</v>
      </c>
      <c r="M11" s="148">
        <v>3.9990000000000001</v>
      </c>
      <c r="N11" s="149">
        <v>3.5</v>
      </c>
      <c r="O11" s="50" t="str">
        <f>INDEX(Texte,91,Fischzuchtanlage!$N$2)</f>
        <v>unbefriedigend</v>
      </c>
      <c r="P11" s="150">
        <v>4</v>
      </c>
    </row>
    <row r="12" spans="1:16" ht="13.5" thickBot="1" x14ac:dyDescent="0.25">
      <c r="A12" s="133" t="str">
        <f>INDEX(Texte,79,Fischzuchtanlage!$N$2)</f>
        <v>gering</v>
      </c>
      <c r="B12" s="132"/>
      <c r="L12" s="56">
        <v>4</v>
      </c>
      <c r="M12" s="152">
        <v>100</v>
      </c>
      <c r="N12" s="153"/>
      <c r="O12" s="141" t="str">
        <f>INDEX(Texte,92,Fischzuchtanlage!$N$2)</f>
        <v>schlecht</v>
      </c>
      <c r="P12" s="154">
        <v>5</v>
      </c>
    </row>
    <row r="13" spans="1:16" ht="13.5" thickBot="1" x14ac:dyDescent="0.25">
      <c r="A13" s="133" t="str">
        <f>INDEX(Texte,80,Fischzuchtanlage!$N$2)</f>
        <v>hoch</v>
      </c>
      <c r="B13" s="132"/>
      <c r="L13" s="51">
        <v>4.0999999999999996</v>
      </c>
      <c r="M13" s="155"/>
      <c r="N13" s="155"/>
      <c r="O13" s="156" t="str">
        <f>INDEX(Texte,93,Fischzuchtanlage!$N$2)</f>
        <v>zu schlecht</v>
      </c>
      <c r="P13" s="154">
        <v>6</v>
      </c>
    </row>
    <row r="14" spans="1:16" ht="13.5" thickBot="1" x14ac:dyDescent="0.25">
      <c r="A14" s="143"/>
      <c r="B14" s="144"/>
      <c r="P14" s="157"/>
    </row>
    <row r="15" spans="1:16" x14ac:dyDescent="0.2">
      <c r="D15" s="41" t="s">
        <v>1030</v>
      </c>
      <c r="L15" s="128" t="s">
        <v>277</v>
      </c>
      <c r="O15" s="128"/>
      <c r="P15" s="157"/>
    </row>
    <row r="16" spans="1:16" ht="13.5" thickBot="1" x14ac:dyDescent="0.25">
      <c r="D16" s="41" t="s">
        <v>1031</v>
      </c>
      <c r="P16" s="157"/>
    </row>
    <row r="17" spans="1:16" x14ac:dyDescent="0.2">
      <c r="A17" s="94" t="s">
        <v>534</v>
      </c>
      <c r="F17" s="13"/>
      <c r="L17" s="134" t="s">
        <v>264</v>
      </c>
      <c r="M17" s="135" t="s">
        <v>265</v>
      </c>
      <c r="N17" s="136" t="s">
        <v>266</v>
      </c>
      <c r="O17" s="136" t="s">
        <v>267</v>
      </c>
      <c r="P17" s="158" t="s">
        <v>268</v>
      </c>
    </row>
    <row r="18" spans="1:16" ht="13.5" thickBot="1" x14ac:dyDescent="0.25">
      <c r="C18" s="41" t="s">
        <v>535</v>
      </c>
      <c r="D18" s="41" t="s">
        <v>536</v>
      </c>
      <c r="E18" s="41" t="s">
        <v>530</v>
      </c>
      <c r="F18" s="14"/>
      <c r="G18" s="159"/>
      <c r="H18" s="159"/>
      <c r="I18" s="159"/>
      <c r="J18" s="159"/>
      <c r="K18" s="159"/>
      <c r="L18" s="138" t="s">
        <v>269</v>
      </c>
      <c r="M18" s="139" t="s">
        <v>278</v>
      </c>
      <c r="N18" s="140" t="s">
        <v>269</v>
      </c>
      <c r="O18" s="141"/>
      <c r="P18" s="160"/>
    </row>
    <row r="19" spans="1:16" x14ac:dyDescent="0.2">
      <c r="A19" s="41" t="s">
        <v>526</v>
      </c>
      <c r="B19" s="41" t="s">
        <v>269</v>
      </c>
      <c r="C19" s="161">
        <f>Fischzuchtanlage!I59</f>
        <v>0</v>
      </c>
      <c r="D19" s="162" t="str">
        <f>Fischzuchtanlage!L59</f>
        <v>gering</v>
      </c>
      <c r="E19" s="163" t="str">
        <f>IF(C19&gt;0,IF(D19=A12,VLOOKUP(C19,DOC,4),VLOOKUP(C19,DOCNormal,4)),"")</f>
        <v/>
      </c>
      <c r="F19" s="823"/>
      <c r="G19" s="823"/>
      <c r="H19" s="823"/>
      <c r="I19" s="14"/>
      <c r="J19" s="14"/>
      <c r="K19" s="14"/>
      <c r="L19" s="55">
        <v>0</v>
      </c>
      <c r="M19" s="145">
        <v>1.9990000000000001</v>
      </c>
      <c r="N19" s="146"/>
      <c r="O19" s="136" t="str">
        <f>INDEX(Texte,88,Fischzuchtanlage!$N$2)</f>
        <v>sehr gut</v>
      </c>
      <c r="P19" s="147">
        <v>1</v>
      </c>
    </row>
    <row r="20" spans="1:16" x14ac:dyDescent="0.2">
      <c r="A20" s="41" t="s">
        <v>527</v>
      </c>
      <c r="B20" s="41" t="s">
        <v>269</v>
      </c>
      <c r="C20" s="161">
        <f>Fischzuchtanlage!I60</f>
        <v>0</v>
      </c>
      <c r="D20" s="14"/>
      <c r="E20" s="163" t="str">
        <f>IF(C20&gt;0,VLOOKUP(C20,NH4N,4),"")</f>
        <v/>
      </c>
      <c r="F20" s="823"/>
      <c r="G20" s="823"/>
      <c r="H20" s="823"/>
      <c r="I20" s="14"/>
      <c r="J20" s="14"/>
      <c r="K20" s="14"/>
      <c r="L20" s="49">
        <v>2</v>
      </c>
      <c r="M20" s="148">
        <v>3.9990000000000001</v>
      </c>
      <c r="N20" s="149">
        <v>3</v>
      </c>
      <c r="O20" s="50" t="str">
        <f>INDEX(Texte,89,Fischzuchtanlage!$N$2)</f>
        <v>gut</v>
      </c>
      <c r="P20" s="150">
        <v>2</v>
      </c>
    </row>
    <row r="21" spans="1:16" x14ac:dyDescent="0.2">
      <c r="A21" s="41" t="s">
        <v>541</v>
      </c>
      <c r="B21" s="41" t="s">
        <v>269</v>
      </c>
      <c r="C21" s="161">
        <f>Fischzuchtanlage!I61</f>
        <v>0</v>
      </c>
      <c r="D21" s="14"/>
      <c r="E21" s="163" t="str">
        <f>IF(C21&gt;0,VLOOKUP(C21,NO3N,4),"")</f>
        <v/>
      </c>
      <c r="F21" s="823"/>
      <c r="G21" s="823"/>
      <c r="H21" s="823"/>
      <c r="I21" s="14"/>
      <c r="J21" s="14"/>
      <c r="K21" s="14"/>
      <c r="L21" s="49">
        <v>4</v>
      </c>
      <c r="M21" s="148">
        <v>5.9989999999999997</v>
      </c>
      <c r="N21" s="149">
        <v>5</v>
      </c>
      <c r="O21" s="50" t="str">
        <f>INDEX(Texte,90,Fischzuchtanlage!$N$2)</f>
        <v>mässig</v>
      </c>
      <c r="P21" s="150">
        <v>3</v>
      </c>
    </row>
    <row r="22" spans="1:16" x14ac:dyDescent="0.2">
      <c r="A22" s="41" t="s">
        <v>528</v>
      </c>
      <c r="B22" s="41" t="s">
        <v>269</v>
      </c>
      <c r="C22" s="161">
        <f>Fischzuchtanlage!I62</f>
        <v>0</v>
      </c>
      <c r="D22" s="14"/>
      <c r="E22" s="163" t="str">
        <f>IF(C22&gt;0,VLOOKUP(C22,GelP,4),"")</f>
        <v/>
      </c>
      <c r="F22" s="823"/>
      <c r="G22" s="823"/>
      <c r="H22" s="823"/>
      <c r="I22" s="14"/>
      <c r="J22" s="14"/>
      <c r="K22" s="14"/>
      <c r="L22" s="49">
        <v>6</v>
      </c>
      <c r="M22" s="148">
        <v>7.9989999999999997</v>
      </c>
      <c r="N22" s="149">
        <v>7</v>
      </c>
      <c r="O22" s="50" t="str">
        <f>INDEX(Texte,91,Fischzuchtanlage!$N$2)</f>
        <v>unbefriedigend</v>
      </c>
      <c r="P22" s="150">
        <v>4</v>
      </c>
    </row>
    <row r="23" spans="1:16" ht="13.5" thickBot="1" x14ac:dyDescent="0.25">
      <c r="A23" s="41" t="s">
        <v>720</v>
      </c>
      <c r="B23" s="41" t="s">
        <v>269</v>
      </c>
      <c r="C23" s="161">
        <f>Fischzuchtanlage!I63</f>
        <v>0</v>
      </c>
      <c r="E23" s="163" t="str">
        <f>IF(C23&gt;0,VLOOKUP(C23,GesP,4),"")</f>
        <v/>
      </c>
      <c r="F23" s="823"/>
      <c r="G23" s="823"/>
      <c r="H23" s="823"/>
      <c r="I23" s="14"/>
      <c r="J23" s="14"/>
      <c r="K23" s="14"/>
      <c r="L23" s="56">
        <v>8</v>
      </c>
      <c r="M23" s="152">
        <v>100</v>
      </c>
      <c r="N23" s="153"/>
      <c r="O23" s="141" t="str">
        <f>INDEX(Texte,92,Fischzuchtanlage!$N$2)</f>
        <v>schlecht</v>
      </c>
      <c r="P23" s="154">
        <v>5</v>
      </c>
    </row>
    <row r="24" spans="1:16" ht="13.5" thickBot="1" x14ac:dyDescent="0.25">
      <c r="F24" s="13"/>
      <c r="L24" s="165">
        <v>8.1</v>
      </c>
      <c r="M24" s="115"/>
      <c r="N24" s="115"/>
      <c r="O24" s="156" t="str">
        <f>INDEX(Texte,93,Fischzuchtanlage!$N$2)</f>
        <v>zu schlecht</v>
      </c>
      <c r="P24" s="166">
        <v>6</v>
      </c>
    </row>
    <row r="25" spans="1:16" ht="13.5" thickBot="1" x14ac:dyDescent="0.25">
      <c r="I25" s="13"/>
      <c r="P25" s="157"/>
    </row>
    <row r="26" spans="1:16" ht="13.5" thickBot="1" x14ac:dyDescent="0.25">
      <c r="A26" s="207" t="s">
        <v>767</v>
      </c>
      <c r="B26" s="208"/>
      <c r="C26" s="208"/>
      <c r="D26" s="164"/>
      <c r="E26" s="136"/>
      <c r="I26" s="13"/>
      <c r="L26" s="128" t="s">
        <v>279</v>
      </c>
      <c r="O26" s="128"/>
      <c r="P26" s="157"/>
    </row>
    <row r="27" spans="1:16" ht="26.25" thickBot="1" x14ac:dyDescent="0.25">
      <c r="A27" s="49"/>
      <c r="B27" s="5"/>
      <c r="C27" s="209" t="s">
        <v>716</v>
      </c>
      <c r="D27" s="209" t="s">
        <v>1021</v>
      </c>
      <c r="E27" s="149"/>
      <c r="G27" s="1070" t="s">
        <v>768</v>
      </c>
      <c r="H27" s="1071"/>
      <c r="I27" s="14"/>
      <c r="P27" s="157"/>
    </row>
    <row r="28" spans="1:16" ht="13.5" thickBot="1" x14ac:dyDescent="0.25">
      <c r="A28" s="49" t="s">
        <v>526</v>
      </c>
      <c r="B28" s="5" t="s">
        <v>269</v>
      </c>
      <c r="C28" s="168" t="e">
        <f>(Fischzuchtanlage!J$42*Fischzuchtanlage!G87)/(Fischzuchtanlage!J$42+Fischzuchtanlage!J$52)</f>
        <v>#VALUE!</v>
      </c>
      <c r="D28" s="1063" t="e">
        <f>IF(D19=A13,IF(C28&lt;StufeDOCHoch,tragbar,IF(C28&lt;$K$76/$K$73*StufeDOCHoch,kritisch,G30)),IF(C28&lt;StufeDOCGering,tragbar,IF(C28&lt;$K$76/$K$73*StufeDOCGering,kritisch,nicht)))</f>
        <v>#VALUE!</v>
      </c>
      <c r="E28" s="1063"/>
      <c r="G28" s="1067" t="str">
        <f>INDEX(Texte,151,Fischzuchtanlage!$N$2)</f>
        <v>voraussichtlich tragbar</v>
      </c>
      <c r="H28" s="1042"/>
      <c r="I28" s="14"/>
      <c r="L28" s="134" t="s">
        <v>264</v>
      </c>
      <c r="M28" s="135" t="s">
        <v>265</v>
      </c>
      <c r="N28" s="164" t="s">
        <v>266</v>
      </c>
      <c r="O28" s="136" t="s">
        <v>267</v>
      </c>
      <c r="P28" s="158" t="s">
        <v>268</v>
      </c>
    </row>
    <row r="29" spans="1:16" ht="13.5" thickBot="1" x14ac:dyDescent="0.25">
      <c r="A29" s="49" t="s">
        <v>527</v>
      </c>
      <c r="B29" s="5" t="s">
        <v>269</v>
      </c>
      <c r="C29" s="168" t="e">
        <f>(Fischzuchtanlage!J$42*Fischzuchtanlage!G88)/(Fischzuchtanlage!J$42+Fischzuchtanlage!J$52)</f>
        <v>#VALUE!</v>
      </c>
      <c r="D29" s="1063" t="e">
        <f>IF(C29&lt;StufeNH4,tragbar,IF(C29&lt;$K$76/$K$73*StufeNH4,kritisch,nicht))</f>
        <v>#VALUE!</v>
      </c>
      <c r="E29" s="1063"/>
      <c r="G29" s="1067" t="str">
        <f>INDEX(Texte,152,Fischzuchtanlage!$N$2)</f>
        <v>kritisch</v>
      </c>
      <c r="H29" s="1042"/>
      <c r="I29" s="14"/>
      <c r="L29" s="169" t="s">
        <v>269</v>
      </c>
      <c r="M29" s="170" t="s">
        <v>278</v>
      </c>
      <c r="N29" s="171" t="s">
        <v>269</v>
      </c>
      <c r="O29" s="48"/>
      <c r="P29" s="160"/>
    </row>
    <row r="30" spans="1:16" ht="13.5" thickBot="1" x14ac:dyDescent="0.25">
      <c r="A30" s="49" t="s">
        <v>541</v>
      </c>
      <c r="B30" s="5" t="s">
        <v>269</v>
      </c>
      <c r="C30" s="168" t="e">
        <f>(Fischzuchtanlage!J$42*Fischzuchtanlage!G89)/(Fischzuchtanlage!J$42+Fischzuchtanlage!J$52)</f>
        <v>#DIV/0!</v>
      </c>
      <c r="D30" s="1063" t="e">
        <f>IF(C30&lt;StufeNO3,tragbar,IF(C30&lt;$K$76/$K$73*StufeNO3,kritisch,nicht))</f>
        <v>#DIV/0!</v>
      </c>
      <c r="E30" s="1063"/>
      <c r="G30" s="1068" t="str">
        <f>INDEX(Texte,153,Fischzuchtanlage!$N$2)</f>
        <v>nicht tragbar</v>
      </c>
      <c r="H30" s="1069"/>
      <c r="I30" s="14"/>
      <c r="L30" s="55">
        <v>0</v>
      </c>
      <c r="M30" s="172">
        <v>3.9989999999999998E-2</v>
      </c>
      <c r="N30" s="146"/>
      <c r="O30" s="136" t="str">
        <f>INDEX(Texte,88,Fischzuchtanlage!$N$2)</f>
        <v>sehr gut</v>
      </c>
      <c r="P30" s="173">
        <v>1</v>
      </c>
    </row>
    <row r="31" spans="1:16" x14ac:dyDescent="0.2">
      <c r="A31" s="49" t="s">
        <v>528</v>
      </c>
      <c r="B31" s="5" t="s">
        <v>269</v>
      </c>
      <c r="C31" s="168" t="e">
        <f>(Fischzuchtanlage!J$42*Fischzuchtanlage!G91)/(Fischzuchtanlage!J$42+Fischzuchtanlage!J$52)</f>
        <v>#DIV/0!</v>
      </c>
      <c r="D31" s="1063" t="e">
        <f>IF(C31&lt;StufePGel,tragbar,IF(C31&lt;$K$76/$K$73*StufePGel,kritisch,nicht))</f>
        <v>#DIV/0!</v>
      </c>
      <c r="E31" s="1063"/>
      <c r="L31" s="49">
        <v>0.04</v>
      </c>
      <c r="M31" s="174">
        <v>0.19989999999999999</v>
      </c>
      <c r="N31" s="149">
        <v>0.12</v>
      </c>
      <c r="O31" s="50" t="str">
        <f>INDEX(Texte,89,Fischzuchtanlage!$N$2)</f>
        <v>gut</v>
      </c>
      <c r="P31" s="150">
        <v>2</v>
      </c>
    </row>
    <row r="32" spans="1:16" x14ac:dyDescent="0.2">
      <c r="A32" s="49" t="s">
        <v>714</v>
      </c>
      <c r="B32" s="5" t="s">
        <v>269</v>
      </c>
      <c r="C32" s="168" t="e">
        <f>(Fischzuchtanlage!J$42*Fischzuchtanlage!G92)/(Fischzuchtanlage!J$42+Fischzuchtanlage!J$52)</f>
        <v>#DIV/0!</v>
      </c>
      <c r="D32" s="1063" t="e">
        <f>IF(C32&lt;StufePges,tragbar,IF(C32&lt;$K$76/$K$73*StufePges,kritisch,nicht))</f>
        <v>#DIV/0!</v>
      </c>
      <c r="E32" s="1063"/>
      <c r="L32" s="49">
        <v>0.2</v>
      </c>
      <c r="M32" s="174">
        <v>0.2999</v>
      </c>
      <c r="N32" s="149">
        <v>0.25</v>
      </c>
      <c r="O32" s="50" t="str">
        <f>INDEX(Texte,90,Fischzuchtanlage!$N$2)</f>
        <v>mässig</v>
      </c>
      <c r="P32" s="150">
        <v>3</v>
      </c>
    </row>
    <row r="33" spans="1:16" ht="13.5" thickBot="1" x14ac:dyDescent="0.25">
      <c r="A33" s="56"/>
      <c r="B33" s="155"/>
      <c r="C33" s="155"/>
      <c r="D33" s="155"/>
      <c r="E33" s="141"/>
      <c r="L33" s="49">
        <v>0.3</v>
      </c>
      <c r="M33" s="174">
        <v>0.39989999999999998</v>
      </c>
      <c r="N33" s="149">
        <v>0.35</v>
      </c>
      <c r="O33" s="50" t="str">
        <f>INDEX(Texte,91,Fischzuchtanlage!$N$2)</f>
        <v>unbefriedigend</v>
      </c>
      <c r="P33" s="150">
        <v>4</v>
      </c>
    </row>
    <row r="34" spans="1:16" ht="13.5" thickBot="1" x14ac:dyDescent="0.25">
      <c r="L34" s="56">
        <v>0.4</v>
      </c>
      <c r="M34" s="175">
        <v>100</v>
      </c>
      <c r="N34" s="153"/>
      <c r="O34" s="141" t="str">
        <f>INDEX(Texte,92,Fischzuchtanlage!$N$2)</f>
        <v>schlecht</v>
      </c>
      <c r="P34" s="154">
        <v>5</v>
      </c>
    </row>
    <row r="35" spans="1:16" ht="13.5" thickBot="1" x14ac:dyDescent="0.25">
      <c r="A35" s="94" t="s">
        <v>715</v>
      </c>
      <c r="D35" s="41" t="s">
        <v>736</v>
      </c>
      <c r="L35" s="165">
        <v>0.41</v>
      </c>
      <c r="M35" s="115"/>
      <c r="N35" s="115"/>
      <c r="O35" s="156" t="str">
        <f>INDEX(Texte,93,Fischzuchtanlage!$N$2)</f>
        <v>zu schlecht</v>
      </c>
      <c r="P35" s="166">
        <v>6</v>
      </c>
    </row>
    <row r="36" spans="1:16" ht="25.5" x14ac:dyDescent="0.2">
      <c r="C36" s="167" t="s">
        <v>717</v>
      </c>
      <c r="D36" s="41" t="s">
        <v>737</v>
      </c>
      <c r="F36" s="14"/>
      <c r="G36" s="159"/>
      <c r="H36" s="159"/>
      <c r="I36" s="159"/>
      <c r="J36" s="159"/>
      <c r="K36" s="159"/>
      <c r="P36" s="157"/>
    </row>
    <row r="37" spans="1:16" x14ac:dyDescent="0.2">
      <c r="A37" s="41" t="s">
        <v>526</v>
      </c>
      <c r="B37" s="41" t="s">
        <v>269</v>
      </c>
      <c r="C37" s="168" t="str">
        <f>IF(C19&gt;0,(C19*(Fischzuchtanlage!J$52+Fischzuchtanlage!J$42)+Fischzuchtanlage!J$42*Fischzuchtanlage!G87)/(Fischzuchtanlage!J$42+Fischzuchtanlage!J$52),"")</f>
        <v/>
      </c>
      <c r="D37" s="740" t="str">
        <f>IF(C19&gt;0,IF(C37&gt;0,IF(D19=A12,VLOOKUP(C37,DOC,4),VLOOKUP(C37,DOCNormal,4)),""),"")</f>
        <v/>
      </c>
      <c r="F37" s="14"/>
      <c r="G37" s="14"/>
      <c r="H37" s="14"/>
      <c r="I37" s="14"/>
      <c r="J37" s="14"/>
      <c r="K37" s="14"/>
      <c r="L37" s="128" t="s">
        <v>540</v>
      </c>
      <c r="O37" s="128"/>
      <c r="P37" s="157"/>
    </row>
    <row r="38" spans="1:16" ht="13.5" thickBot="1" x14ac:dyDescent="0.25">
      <c r="A38" s="41" t="s">
        <v>527</v>
      </c>
      <c r="B38" s="41" t="s">
        <v>269</v>
      </c>
      <c r="C38" s="168" t="str">
        <f>IF(C20&gt;0,(C20*(Fischzuchtanlage!J$52+Fischzuchtanlage!J$42)+Fischzuchtanlage!J$42*Fischzuchtanlage!G88)/(Fischzuchtanlage!J$42+Fischzuchtanlage!J$52),"")</f>
        <v/>
      </c>
      <c r="D38" s="740" t="str">
        <f>IF(C20&gt;0,IF(C38&gt;0,VLOOKUP(C38,NH4N,4),""),"")</f>
        <v/>
      </c>
      <c r="F38" s="14"/>
      <c r="G38" s="14"/>
      <c r="H38" s="14"/>
      <c r="I38" s="14"/>
      <c r="J38" s="14"/>
      <c r="K38" s="14"/>
      <c r="P38" s="157"/>
    </row>
    <row r="39" spans="1:16" ht="13.5" thickBot="1" x14ac:dyDescent="0.25">
      <c r="A39" s="41" t="s">
        <v>541</v>
      </c>
      <c r="B39" s="41" t="s">
        <v>269</v>
      </c>
      <c r="C39" s="168" t="str">
        <f>IF(C21&gt;0,(C21*(Fischzuchtanlage!J$52+Fischzuchtanlage!J$42)+Fischzuchtanlage!J$42*Fischzuchtanlage!G89)/(Fischzuchtanlage!J$42+Fischzuchtanlage!J$52),"")</f>
        <v/>
      </c>
      <c r="D39" s="740" t="str">
        <f>IF(C21&gt;0,IF(C39&gt;0,VLOOKUP(C39,NO3N,4),""),"")</f>
        <v/>
      </c>
      <c r="F39" s="14"/>
      <c r="G39" s="14"/>
      <c r="H39" s="14"/>
      <c r="I39" s="14"/>
      <c r="J39" s="14"/>
      <c r="K39" s="14"/>
      <c r="L39" s="134" t="s">
        <v>264</v>
      </c>
      <c r="M39" s="135" t="s">
        <v>265</v>
      </c>
      <c r="N39" s="164" t="s">
        <v>266</v>
      </c>
      <c r="O39" s="136" t="s">
        <v>267</v>
      </c>
      <c r="P39" s="158" t="s">
        <v>268</v>
      </c>
    </row>
    <row r="40" spans="1:16" ht="13.5" thickBot="1" x14ac:dyDescent="0.25">
      <c r="A40" s="41" t="s">
        <v>528</v>
      </c>
      <c r="B40" s="41" t="s">
        <v>269</v>
      </c>
      <c r="C40" s="168" t="str">
        <f>IF(C22&gt;0,(C22*(Fischzuchtanlage!J$52+Fischzuchtanlage!J$42)+Fischzuchtanlage!J$42*Fischzuchtanlage!G91)/(Fischzuchtanlage!J$42+Fischzuchtanlage!J$52),"")</f>
        <v/>
      </c>
      <c r="D40" s="740" t="str">
        <f>IF(C22&gt;0,IF(C40&gt;0,VLOOKUP(C40,GelP,4),""),"")</f>
        <v/>
      </c>
      <c r="F40" s="14"/>
      <c r="G40" s="14"/>
      <c r="H40" s="14"/>
      <c r="I40" s="14"/>
      <c r="J40" s="14"/>
      <c r="K40" s="14"/>
      <c r="L40" s="169" t="s">
        <v>269</v>
      </c>
      <c r="M40" s="170" t="s">
        <v>278</v>
      </c>
      <c r="N40" s="171" t="s">
        <v>269</v>
      </c>
      <c r="O40" s="48"/>
      <c r="P40" s="160"/>
    </row>
    <row r="41" spans="1:16" x14ac:dyDescent="0.2">
      <c r="A41" s="41" t="s">
        <v>714</v>
      </c>
      <c r="B41" s="41" t="s">
        <v>269</v>
      </c>
      <c r="C41" s="168" t="str">
        <f>IF(C23&gt;0,(C23*(Fischzuchtanlage!J$52+Fischzuchtanlage!J$42)+Fischzuchtanlage!J$42*Fischzuchtanlage!G92)/(Fischzuchtanlage!J$42+Fischzuchtanlage!J$52),"")</f>
        <v/>
      </c>
      <c r="D41" s="740" t="str">
        <f>IF(C23&gt;0,IF(C41&gt;0,VLOOKUP(C41,GesP,4),""),"")</f>
        <v/>
      </c>
      <c r="F41" s="14"/>
      <c r="G41" s="14"/>
      <c r="H41" s="14"/>
      <c r="I41" s="14"/>
      <c r="J41" s="14"/>
      <c r="K41" s="14"/>
      <c r="L41" s="55">
        <v>0</v>
      </c>
      <c r="M41" s="172">
        <v>1.5</v>
      </c>
      <c r="N41" s="146"/>
      <c r="O41" s="136" t="str">
        <f>INDEX(Texte,88,Fischzuchtanlage!$N$2)</f>
        <v>sehr gut</v>
      </c>
      <c r="P41" s="173">
        <v>1</v>
      </c>
    </row>
    <row r="42" spans="1:16" x14ac:dyDescent="0.2">
      <c r="F42" s="13"/>
      <c r="L42" s="49">
        <v>1.5</v>
      </c>
      <c r="M42" s="174">
        <v>5.6</v>
      </c>
      <c r="N42" s="149">
        <f>AVERAGE(L42:M42)</f>
        <v>3.55</v>
      </c>
      <c r="O42" s="50" t="str">
        <f>INDEX(Texte,89,Fischzuchtanlage!$N$2)</f>
        <v>gut</v>
      </c>
      <c r="P42" s="150">
        <v>2</v>
      </c>
    </row>
    <row r="43" spans="1:16" x14ac:dyDescent="0.2">
      <c r="F43" s="13"/>
      <c r="L43" s="49">
        <v>5.6</v>
      </c>
      <c r="M43" s="174">
        <v>8.4</v>
      </c>
      <c r="N43" s="149">
        <f t="shared" ref="N43:N44" si="0">AVERAGE(L43:M43)</f>
        <v>7</v>
      </c>
      <c r="O43" s="50" t="str">
        <f>INDEX(Texte,90,Fischzuchtanlage!$N$2)</f>
        <v>mässig</v>
      </c>
      <c r="P43" s="150">
        <v>3</v>
      </c>
    </row>
    <row r="44" spans="1:16" x14ac:dyDescent="0.2">
      <c r="A44" s="214" t="s">
        <v>788</v>
      </c>
      <c r="B44" s="214"/>
      <c r="C44" s="214"/>
      <c r="D44" s="214"/>
      <c r="L44" s="49">
        <v>8.4</v>
      </c>
      <c r="M44" s="174">
        <v>11.2</v>
      </c>
      <c r="N44" s="149">
        <f t="shared" si="0"/>
        <v>9.8000000000000007</v>
      </c>
      <c r="O44" s="50" t="str">
        <f>INDEX(Texte,91,Fischzuchtanlage!$N$2)</f>
        <v>unbefriedigend</v>
      </c>
      <c r="P44" s="150">
        <v>4</v>
      </c>
    </row>
    <row r="45" spans="1:16" ht="13.5" thickBot="1" x14ac:dyDescent="0.25">
      <c r="A45" s="216" t="s">
        <v>785</v>
      </c>
      <c r="B45" s="214"/>
      <c r="C45" s="214"/>
      <c r="D45" s="214"/>
      <c r="L45" s="56">
        <v>11.2</v>
      </c>
      <c r="M45" s="175">
        <v>100</v>
      </c>
      <c r="N45" s="153"/>
      <c r="O45" s="141" t="str">
        <f>INDEX(Texte,92,Fischzuchtanlage!$N$2)</f>
        <v>schlecht</v>
      </c>
      <c r="P45" s="154">
        <v>5</v>
      </c>
    </row>
    <row r="46" spans="1:16" ht="13.5" thickBot="1" x14ac:dyDescent="0.25">
      <c r="A46" s="214" t="s">
        <v>66</v>
      </c>
      <c r="C46" s="217" t="s">
        <v>786</v>
      </c>
      <c r="D46" s="157" t="s">
        <v>787</v>
      </c>
      <c r="E46" s="206" t="s">
        <v>790</v>
      </c>
      <c r="F46" s="41" t="s">
        <v>791</v>
      </c>
      <c r="G46" s="127" t="s">
        <v>789</v>
      </c>
      <c r="H46" s="127" t="s">
        <v>1255</v>
      </c>
      <c r="I46" s="127" t="str">
        <f>INDEX(Texte,113,Fischzuchtanlage!$N$2)</f>
        <v>Abweichung von der zulässigen Belastung
unterhalb Grün: voraussichtlich tragbar
über Rot: nicht tragbar
Balkenüberschrift: Überschreitungsfaktor</v>
      </c>
      <c r="L46" s="165">
        <v>11.3</v>
      </c>
      <c r="M46" s="115"/>
      <c r="N46" s="115"/>
      <c r="O46" s="156" t="str">
        <f>INDEX(Texte,93,Fischzuchtanlage!$N$2)</f>
        <v>zu schlecht</v>
      </c>
      <c r="P46" s="166">
        <v>6</v>
      </c>
    </row>
    <row r="47" spans="1:16" x14ac:dyDescent="0.2">
      <c r="E47" s="157">
        <v>1</v>
      </c>
      <c r="F47" s="157">
        <f>$K$76/$K$73*1</f>
        <v>2</v>
      </c>
      <c r="I47" s="159"/>
      <c r="P47" s="157"/>
    </row>
    <row r="48" spans="1:16" x14ac:dyDescent="0.2">
      <c r="A48" s="41" t="str">
        <f>INDEX(Texte,114,Fischzuchtanlage!$N$2)</f>
        <v>DOC</v>
      </c>
      <c r="B48" s="41" t="s">
        <v>269</v>
      </c>
      <c r="C48" s="206">
        <f>IF(D19=A13,StufeDOCHoch,StufeDOCGering)</f>
        <v>0.5</v>
      </c>
      <c r="D48" s="14">
        <f>IF(D19=A13,$K$76/$K$73*StufeDOCHoch,$K$76/$K$73*StufeDOCGering)</f>
        <v>1</v>
      </c>
      <c r="E48" s="157">
        <v>1</v>
      </c>
      <c r="F48" s="157">
        <f>E48/C48*D48</f>
        <v>2</v>
      </c>
      <c r="G48" s="471" t="e">
        <f>E48*C28/C48</f>
        <v>#VALUE!</v>
      </c>
      <c r="I48" s="159"/>
      <c r="L48" s="128" t="s">
        <v>473</v>
      </c>
      <c r="O48" s="128"/>
      <c r="P48" s="157"/>
    </row>
    <row r="49" spans="1:16" ht="13.5" thickBot="1" x14ac:dyDescent="0.25">
      <c r="A49" s="41" t="str">
        <f>INDEX(Texte,115,Fischzuchtanlage!$N$2)</f>
        <v>NH4-N</v>
      </c>
      <c r="B49" s="41" t="s">
        <v>269</v>
      </c>
      <c r="C49" s="206">
        <f>StufeNH4</f>
        <v>0.05</v>
      </c>
      <c r="D49" s="14">
        <f>$K$76/$K$73*StufeNH4</f>
        <v>0.1</v>
      </c>
      <c r="E49" s="157">
        <v>1</v>
      </c>
      <c r="F49" s="157">
        <f t="shared" ref="F49:F52" si="1">E49/C49*D49</f>
        <v>2</v>
      </c>
      <c r="G49" s="471">
        <f>IF(ISERROR(E49*C29/C49),0,E49*C29/C49)</f>
        <v>0</v>
      </c>
      <c r="I49" s="159"/>
      <c r="P49" s="157"/>
    </row>
    <row r="50" spans="1:16" x14ac:dyDescent="0.2">
      <c r="A50" s="41" t="str">
        <f>INDEX(Texte,116,Fischzuchtanlage!$N$2)</f>
        <v>NO3-N</v>
      </c>
      <c r="B50" s="41" t="s">
        <v>269</v>
      </c>
      <c r="C50" s="206">
        <f>StufeNO3</f>
        <v>1.75</v>
      </c>
      <c r="D50" s="14">
        <f>$K$76/$K$73*StufeNO3</f>
        <v>3.5</v>
      </c>
      <c r="E50" s="157">
        <v>1</v>
      </c>
      <c r="F50" s="157">
        <f t="shared" si="1"/>
        <v>2</v>
      </c>
      <c r="G50" s="471" t="e">
        <f>E50*C30/C50</f>
        <v>#DIV/0!</v>
      </c>
      <c r="I50" s="159"/>
      <c r="L50" s="134" t="s">
        <v>264</v>
      </c>
      <c r="M50" s="135" t="s">
        <v>265</v>
      </c>
      <c r="N50" s="136" t="s">
        <v>266</v>
      </c>
      <c r="O50" s="136" t="s">
        <v>267</v>
      </c>
      <c r="P50" s="158" t="s">
        <v>268</v>
      </c>
    </row>
    <row r="51" spans="1:16" ht="13.5" thickBot="1" x14ac:dyDescent="0.25">
      <c r="A51" s="41" t="str">
        <f>INDEX(Texte,117,Fischzuchtanlage!$N$2)</f>
        <v>P gelöst</v>
      </c>
      <c r="B51" s="41" t="s">
        <v>269</v>
      </c>
      <c r="C51" s="206">
        <f>StufePGel</f>
        <v>1.2500000000000001E-2</v>
      </c>
      <c r="D51" s="14">
        <f>$K$76/$K$73*StufePGel</f>
        <v>2.5000000000000001E-2</v>
      </c>
      <c r="E51" s="157">
        <v>1</v>
      </c>
      <c r="F51" s="157">
        <f t="shared" si="1"/>
        <v>2</v>
      </c>
      <c r="G51" s="471" t="e">
        <f>E51*C31/C51</f>
        <v>#DIV/0!</v>
      </c>
      <c r="I51" s="159"/>
      <c r="L51" s="138" t="s">
        <v>269</v>
      </c>
      <c r="M51" s="176" t="s">
        <v>278</v>
      </c>
      <c r="N51" s="140" t="s">
        <v>269</v>
      </c>
      <c r="O51" s="141"/>
      <c r="P51" s="160"/>
    </row>
    <row r="52" spans="1:16" x14ac:dyDescent="0.2">
      <c r="A52" s="41" t="str">
        <f>INDEX(Texte,118,Fischzuchtanlage!$N$2)</f>
        <v>P tot.</v>
      </c>
      <c r="B52" s="41" t="s">
        <v>269</v>
      </c>
      <c r="C52" s="206">
        <f>StufePges</f>
        <v>1.7500000000000002E-2</v>
      </c>
      <c r="D52" s="14">
        <f>$K$76/$K$73*StufePges</f>
        <v>3.5000000000000003E-2</v>
      </c>
      <c r="E52" s="157">
        <v>1</v>
      </c>
      <c r="F52" s="157">
        <f t="shared" si="1"/>
        <v>2</v>
      </c>
      <c r="G52" s="471" t="e">
        <f>E52*C32/C52</f>
        <v>#DIV/0!</v>
      </c>
      <c r="H52" s="159"/>
      <c r="I52" s="159"/>
      <c r="L52" s="55">
        <v>0</v>
      </c>
      <c r="M52" s="172">
        <v>2.5000000000000001E-2</v>
      </c>
      <c r="N52" s="146"/>
      <c r="O52" s="136" t="str">
        <f>INDEX(Texte,88,Fischzuchtanlage!$N$2)</f>
        <v>sehr gut</v>
      </c>
      <c r="P52" s="173">
        <v>1</v>
      </c>
    </row>
    <row r="53" spans="1:16" x14ac:dyDescent="0.2">
      <c r="E53" s="157">
        <v>1</v>
      </c>
      <c r="G53" s="757"/>
      <c r="H53" s="159">
        <v>1</v>
      </c>
      <c r="L53" s="49">
        <v>2.5000000000000001E-2</v>
      </c>
      <c r="M53" s="174">
        <v>0.05</v>
      </c>
      <c r="N53" s="149">
        <f>AVERAGE(L53:M53)</f>
        <v>3.7500000000000006E-2</v>
      </c>
      <c r="O53" s="50" t="str">
        <f>INDEX(Texte,89,Fischzuchtanlage!$N$2)</f>
        <v>gut</v>
      </c>
      <c r="P53" s="150">
        <v>2</v>
      </c>
    </row>
    <row r="54" spans="1:16" x14ac:dyDescent="0.2">
      <c r="A54" s="41" t="str">
        <f>INDEX(Texte,119,Fischzuchtanlage!$N$2)</f>
        <v>GUS</v>
      </c>
      <c r="B54" s="13" t="s">
        <v>269</v>
      </c>
      <c r="C54" s="206">
        <v>20</v>
      </c>
      <c r="D54" s="14"/>
      <c r="E54" s="157"/>
      <c r="F54" s="157"/>
      <c r="G54" s="468" t="e">
        <f>H54*Fischzuchtanlage!G93/C54</f>
        <v>#VALUE!</v>
      </c>
      <c r="H54" s="159">
        <v>1</v>
      </c>
      <c r="I54" s="159"/>
      <c r="L54" s="49">
        <v>0.05</v>
      </c>
      <c r="M54" s="174">
        <v>7.4999999999999997E-2</v>
      </c>
      <c r="N54" s="149">
        <f>AVERAGE(L54:M54)</f>
        <v>6.25E-2</v>
      </c>
      <c r="O54" s="50" t="str">
        <f>INDEX(Texte,90,Fischzuchtanlage!$N$2)</f>
        <v>mässig</v>
      </c>
      <c r="P54" s="150">
        <v>3</v>
      </c>
    </row>
    <row r="55" spans="1:16" x14ac:dyDescent="0.2">
      <c r="A55" s="13"/>
      <c r="B55" s="13"/>
      <c r="C55" s="13"/>
      <c r="D55" s="13"/>
      <c r="H55" s="159">
        <v>1</v>
      </c>
      <c r="L55" s="49">
        <v>7.4999999999999997E-2</v>
      </c>
      <c r="M55" s="174">
        <v>0.1</v>
      </c>
      <c r="N55" s="149">
        <f>AVERAGE(L55:M55)</f>
        <v>8.7499999999999994E-2</v>
      </c>
      <c r="O55" s="50" t="str">
        <f>INDEX(Texte,91,Fischzuchtanlage!$N$2)</f>
        <v>unbefriedigend</v>
      </c>
      <c r="P55" s="150">
        <v>4</v>
      </c>
    </row>
    <row r="56" spans="1:16" ht="13.5" thickBot="1" x14ac:dyDescent="0.25">
      <c r="A56" s="5"/>
      <c r="L56" s="56">
        <v>0.1</v>
      </c>
      <c r="M56" s="175">
        <v>100</v>
      </c>
      <c r="N56" s="140"/>
      <c r="O56" s="141" t="str">
        <f>INDEX(Texte,92,Fischzuchtanlage!$N$2)</f>
        <v>schlecht</v>
      </c>
      <c r="P56" s="154">
        <v>5</v>
      </c>
    </row>
    <row r="57" spans="1:16" ht="13.5" thickBot="1" x14ac:dyDescent="0.25">
      <c r="A57" s="213" t="s">
        <v>917</v>
      </c>
      <c r="B57" s="94" t="s">
        <v>763</v>
      </c>
      <c r="I57" s="211"/>
      <c r="J57" s="212"/>
      <c r="L57" s="165">
        <v>1.0999999999999999E-2</v>
      </c>
      <c r="M57" s="115"/>
      <c r="N57" s="115"/>
      <c r="O57" s="156" t="str">
        <f>INDEX(Texte,93,Fischzuchtanlage!$N$2)</f>
        <v>zu schlecht</v>
      </c>
      <c r="P57" s="166">
        <v>6</v>
      </c>
    </row>
    <row r="58" spans="1:16" x14ac:dyDescent="0.2">
      <c r="A58" s="203">
        <f>IF(Fischzuchtanlage!C109&gt;0,IF(Fischzuchtanlage!C109=Fischzuchtanlage!C106,1,0),0)</f>
        <v>0</v>
      </c>
      <c r="B58" s="1050" t="str">
        <f>INDEX(Texte,165,Fischzuchtanlage!$N$2)</f>
        <v>Die Einleitung des Abwassers in das Gewässer ist voraussichtlich möglich.</v>
      </c>
      <c r="C58" s="1066"/>
      <c r="D58" s="1066"/>
      <c r="E58" s="1066"/>
      <c r="F58" s="1066"/>
      <c r="G58" s="1066"/>
      <c r="H58" s="1066"/>
      <c r="I58" s="1051"/>
      <c r="J58" s="159"/>
      <c r="L58" s="13"/>
      <c r="M58" s="5"/>
      <c r="N58" s="5"/>
      <c r="O58" s="177"/>
      <c r="P58" s="14"/>
    </row>
    <row r="59" spans="1:16" x14ac:dyDescent="0.2">
      <c r="A59" s="203">
        <f>IF(Fischzuchtanlage!C109&gt;0,IF((Fischzuchtanlage!C108+Fischzuchtanlage!C107)&gt;0,IF(Fischzuchtanlage!C110&lt;11,1,0),0),0)</f>
        <v>0</v>
      </c>
      <c r="B59" s="1050" t="str">
        <f>INDEX(Texte,166,Fischzuchtanlage!$N$2)</f>
        <v>Die Einleitung des Abwassers ist so eher nicht möglich. Reduzieren Sie die Belastung durch weitergehende Massnahmen (siehe Hinweise).</v>
      </c>
      <c r="C59" s="1066"/>
      <c r="D59" s="1066"/>
      <c r="E59" s="1066"/>
      <c r="F59" s="1066"/>
      <c r="G59" s="1066"/>
      <c r="H59" s="1066"/>
      <c r="I59" s="1051"/>
      <c r="J59" s="159"/>
      <c r="L59" s="178" t="s">
        <v>718</v>
      </c>
      <c r="M59" s="5"/>
      <c r="N59" s="5"/>
      <c r="O59" s="177"/>
      <c r="P59" s="14"/>
    </row>
    <row r="60" spans="1:16" ht="13.5" thickBot="1" x14ac:dyDescent="0.25">
      <c r="A60" s="203">
        <f>IF(Fischzuchtanlage!C109&gt;0,IF(Fischzuchtanlage!C108=0,IF(Gewaesserbelastung!A70=11,1,0),0),0)</f>
        <v>0</v>
      </c>
      <c r="B60" s="1050" t="str">
        <f>INDEX(Texte,167,Fischzuchtanlage!$N$2)</f>
        <v>Die Belastung liegt im kritischen Bereich, bitte mit uwe vor Einreichung des Gesuchs abklären, ob eine Einleitung allenfalls möglich ist.</v>
      </c>
      <c r="C60" s="1066"/>
      <c r="D60" s="1066"/>
      <c r="E60" s="1066"/>
      <c r="F60" s="1066"/>
      <c r="G60" s="1066"/>
      <c r="H60" s="1066"/>
      <c r="I60" s="1051"/>
      <c r="J60" s="5"/>
      <c r="L60" s="13"/>
      <c r="M60" s="5"/>
      <c r="N60" s="5"/>
      <c r="O60" s="177"/>
      <c r="P60" s="14"/>
    </row>
    <row r="61" spans="1:16" x14ac:dyDescent="0.2">
      <c r="A61" s="203">
        <f>IF(Fischzuchtanlage!C109&gt;0,IF(Fischzuchtanlage!C108&gt;0,1,0),0)</f>
        <v>0</v>
      </c>
      <c r="B61" s="1050" t="str">
        <f>INDEX(Texte,168,Fischzuchtanlage!$N$2)</f>
        <v>Die Einleitung des Abwassers in das Gewässer ist so nicht möglich.</v>
      </c>
      <c r="C61" s="1066"/>
      <c r="D61" s="1066"/>
      <c r="E61" s="1066"/>
      <c r="F61" s="1066"/>
      <c r="G61" s="1066"/>
      <c r="H61" s="1066"/>
      <c r="I61" s="1051"/>
      <c r="J61" s="41"/>
      <c r="L61" s="134" t="s">
        <v>264</v>
      </c>
      <c r="M61" s="135" t="s">
        <v>265</v>
      </c>
      <c r="N61" s="136" t="s">
        <v>266</v>
      </c>
      <c r="O61" s="136" t="s">
        <v>267</v>
      </c>
      <c r="P61" s="158" t="s">
        <v>268</v>
      </c>
    </row>
    <row r="62" spans="1:16" ht="13.5" thickBot="1" x14ac:dyDescent="0.25">
      <c r="J62" s="159"/>
      <c r="L62" s="138" t="s">
        <v>269</v>
      </c>
      <c r="M62" s="176" t="s">
        <v>278</v>
      </c>
      <c r="N62" s="140" t="s">
        <v>269</v>
      </c>
      <c r="O62" s="141"/>
      <c r="P62" s="160"/>
    </row>
    <row r="63" spans="1:16" x14ac:dyDescent="0.2">
      <c r="A63" s="447" t="s">
        <v>907</v>
      </c>
      <c r="B63" s="41" t="s">
        <v>909</v>
      </c>
      <c r="J63" s="159"/>
      <c r="L63" s="55">
        <v>0</v>
      </c>
      <c r="M63" s="172">
        <v>0.04</v>
      </c>
      <c r="N63" s="146"/>
      <c r="O63" s="136" t="str">
        <f>INDEX(Texte,88,Fischzuchtanlage!$N$2)</f>
        <v>sehr gut</v>
      </c>
      <c r="P63" s="173">
        <v>1</v>
      </c>
    </row>
    <row r="64" spans="1:16" x14ac:dyDescent="0.2">
      <c r="A64" s="203">
        <f>IF(Fischzuchtanlage!C18=1,Fischzuchtanlage!C69,4)</f>
        <v>4</v>
      </c>
      <c r="B64" s="1050" t="str">
        <f>INDEX(Texte,160,Fischzuchtanlage!$N$2)</f>
        <v>Sie können die Schlammentfernung optimieren, die Wirkung nimmt von a) nach d) zu (Ziffer 4).</v>
      </c>
      <c r="C64" s="1066"/>
      <c r="D64" s="1066"/>
      <c r="E64" s="1066"/>
      <c r="F64" s="1066"/>
      <c r="G64" s="1066"/>
      <c r="H64" s="1066"/>
      <c r="I64" s="1051"/>
      <c r="J64" s="159"/>
      <c r="L64" s="49">
        <v>0.04</v>
      </c>
      <c r="M64" s="174">
        <v>7.0000000000000007E-2</v>
      </c>
      <c r="N64" s="149">
        <v>5.5E-2</v>
      </c>
      <c r="O64" s="50" t="str">
        <f>INDEX(Texte,89,Fischzuchtanlage!$N$2)</f>
        <v>gut</v>
      </c>
      <c r="P64" s="150">
        <v>2</v>
      </c>
    </row>
    <row r="65" spans="1:16" x14ac:dyDescent="0.2">
      <c r="A65" s="203">
        <f>IF(Fischzuchtanlage!C18=1,Fischzuchtanlage!C70,1)</f>
        <v>1</v>
      </c>
      <c r="B65" s="1050" t="str">
        <f>INDEX(Texte,161,Fischzuchtanlage!$N$2)</f>
        <v>Entwässern Sie den abgetrennten Schlamm mit einem Lamellenklärer oder ähnlichem (unter Ziffer 4).</v>
      </c>
      <c r="C65" s="1066"/>
      <c r="D65" s="1066"/>
      <c r="E65" s="1066"/>
      <c r="F65" s="1066"/>
      <c r="G65" s="1066"/>
      <c r="H65" s="1066"/>
      <c r="I65" s="1051"/>
      <c r="L65" s="49">
        <v>7.0000000000000007E-2</v>
      </c>
      <c r="M65" s="174">
        <v>0.1</v>
      </c>
      <c r="N65" s="149">
        <v>8.5000000000000006E-2</v>
      </c>
      <c r="O65" s="50" t="str">
        <f>INDEX(Texte,90,Fischzuchtanlage!$N$2)</f>
        <v>mässig</v>
      </c>
      <c r="P65" s="150">
        <v>3</v>
      </c>
    </row>
    <row r="66" spans="1:16" x14ac:dyDescent="0.2">
      <c r="A66" s="203">
        <f>IF(Fischzuchtanlage!C18=3,Fischzuchtanlage!C79,2)</f>
        <v>1</v>
      </c>
      <c r="B66" s="1050" t="str">
        <f>INDEX(Texte,162,Fischzuchtanlage!$N$2)</f>
        <v>Bei Kreislaufanlagen können Sie eine Phosphor-Fällung durchführen.</v>
      </c>
      <c r="C66" s="1066"/>
      <c r="D66" s="1066"/>
      <c r="E66" s="1066"/>
      <c r="F66" s="1066"/>
      <c r="G66" s="1066"/>
      <c r="H66" s="1066"/>
      <c r="I66" s="1051"/>
      <c r="L66" s="49">
        <v>0.1</v>
      </c>
      <c r="M66" s="174">
        <v>0.14000000000000001</v>
      </c>
      <c r="N66" s="149">
        <v>0.12</v>
      </c>
      <c r="O66" s="50" t="str">
        <f>INDEX(Texte,91,Fischzuchtanlage!$N$2)</f>
        <v>unbefriedigend</v>
      </c>
      <c r="P66" s="150">
        <v>4</v>
      </c>
    </row>
    <row r="67" spans="1:16" ht="13.5" thickBot="1" x14ac:dyDescent="0.25">
      <c r="A67" s="205">
        <f>IF(Fischzuchtanlage!C18=2,3,Fischzuchtanlage!C80)</f>
        <v>1</v>
      </c>
      <c r="B67" s="1050" t="str">
        <f>INDEX(Texte,163,Fischzuchtanlage!$N$2)</f>
        <v>Sie können eine Nachbehandlung des Abwassers durchführen, die Wirkung nimmt von a) nach c) zu.</v>
      </c>
      <c r="C67" s="1066"/>
      <c r="D67" s="1066"/>
      <c r="E67" s="1066"/>
      <c r="F67" s="1066"/>
      <c r="G67" s="1066"/>
      <c r="H67" s="1066"/>
      <c r="I67" s="1051"/>
      <c r="L67" s="56">
        <v>0.14000000000000001</v>
      </c>
      <c r="M67" s="175">
        <v>100</v>
      </c>
      <c r="N67" s="140"/>
      <c r="O67" s="141" t="str">
        <f>INDEX(Texte,92,Fischzuchtanlage!$N$2)</f>
        <v>schlecht</v>
      </c>
      <c r="P67" s="154">
        <v>5</v>
      </c>
    </row>
    <row r="68" spans="1:16" ht="13.5" thickBot="1" x14ac:dyDescent="0.25">
      <c r="A68" s="204"/>
      <c r="B68" s="1050" t="str">
        <f>INDEX(Texte,164,Fischzuchtanlage!$N$2)</f>
        <v>Prüfen Sie, ob eine Einleitung in einen grösseren Bach möglich ist.</v>
      </c>
      <c r="C68" s="1066"/>
      <c r="D68" s="1066"/>
      <c r="E68" s="1066"/>
      <c r="F68" s="1066"/>
      <c r="G68" s="1066"/>
      <c r="H68" s="1066"/>
      <c r="I68" s="1051"/>
      <c r="L68" s="165">
        <v>0.14099999999999999</v>
      </c>
      <c r="M68" s="115"/>
      <c r="N68" s="115"/>
      <c r="O68" s="156" t="str">
        <f>INDEX(Texte,93,Fischzuchtanlage!$N$2)</f>
        <v>zu schlecht</v>
      </c>
      <c r="P68" s="166">
        <v>6</v>
      </c>
    </row>
    <row r="69" spans="1:16" x14ac:dyDescent="0.2">
      <c r="A69" s="739">
        <f>IF(A65=2,1,2)</f>
        <v>2</v>
      </c>
      <c r="B69" s="738" t="s">
        <v>913</v>
      </c>
    </row>
    <row r="70" spans="1:16" ht="13.5" thickBot="1" x14ac:dyDescent="0.25">
      <c r="A70" s="449">
        <f>A64+A69+A66+A67</f>
        <v>8</v>
      </c>
      <c r="B70" s="450" t="s">
        <v>916</v>
      </c>
      <c r="C70" s="451"/>
      <c r="L70" s="128" t="s">
        <v>280</v>
      </c>
    </row>
    <row r="71" spans="1:16" x14ac:dyDescent="0.2">
      <c r="L71" s="179" t="s">
        <v>281</v>
      </c>
      <c r="M71" s="180"/>
      <c r="N71" s="180"/>
      <c r="O71" s="181"/>
    </row>
    <row r="72" spans="1:16" x14ac:dyDescent="0.2">
      <c r="I72" s="1064" t="s">
        <v>743</v>
      </c>
      <c r="J72" s="1064"/>
      <c r="K72" s="1065"/>
      <c r="L72" s="184" t="s">
        <v>282</v>
      </c>
      <c r="M72" s="185"/>
      <c r="N72" s="185"/>
      <c r="O72" s="186" t="s">
        <v>283</v>
      </c>
    </row>
    <row r="73" spans="1:16" ht="13.5" thickBot="1" x14ac:dyDescent="0.25">
      <c r="A73" s="94" t="s">
        <v>912</v>
      </c>
      <c r="B73" s="127"/>
      <c r="C73" s="182"/>
      <c r="G73" s="183"/>
      <c r="H73" s="183"/>
      <c r="I73" s="41"/>
      <c r="J73" s="41"/>
      <c r="K73" s="744">
        <v>0.5</v>
      </c>
      <c r="L73" s="184" t="s">
        <v>284</v>
      </c>
      <c r="M73" s="188" t="s">
        <v>66</v>
      </c>
      <c r="N73" s="188"/>
      <c r="O73" s="186" t="s">
        <v>284</v>
      </c>
    </row>
    <row r="74" spans="1:16" x14ac:dyDescent="0.2">
      <c r="A74" s="41" t="s">
        <v>908</v>
      </c>
      <c r="C74" s="127"/>
      <c r="F74" s="5"/>
      <c r="G74" s="452" t="s">
        <v>910</v>
      </c>
      <c r="H74" s="187"/>
      <c r="I74" s="41"/>
      <c r="J74" s="41"/>
      <c r="K74" s="41"/>
      <c r="L74" s="189">
        <f>K73*O74</f>
        <v>1</v>
      </c>
      <c r="M74" s="185" t="s">
        <v>255</v>
      </c>
      <c r="N74" s="185"/>
      <c r="O74" s="190">
        <v>2</v>
      </c>
    </row>
    <row r="75" spans="1:16" x14ac:dyDescent="0.2">
      <c r="A75" s="41" t="s">
        <v>904</v>
      </c>
      <c r="C75" s="127"/>
      <c r="F75" s="5"/>
      <c r="G75" s="452" t="s">
        <v>910</v>
      </c>
      <c r="I75" s="1064" t="s">
        <v>744</v>
      </c>
      <c r="J75" s="1064"/>
      <c r="K75" s="1065"/>
      <c r="L75" s="189">
        <f>K73*O75</f>
        <v>0.5</v>
      </c>
      <c r="M75" s="185" t="s">
        <v>255</v>
      </c>
      <c r="N75" s="191" t="s">
        <v>285</v>
      </c>
      <c r="O75" s="190">
        <v>1</v>
      </c>
    </row>
    <row r="76" spans="1:16" ht="13.5" thickBot="1" x14ac:dyDescent="0.25">
      <c r="A76" s="41" t="s">
        <v>905</v>
      </c>
      <c r="F76" s="5"/>
      <c r="G76" s="183" t="s">
        <v>910</v>
      </c>
      <c r="H76" s="183"/>
      <c r="I76" s="41"/>
      <c r="J76" s="41"/>
      <c r="K76" s="744">
        <v>1</v>
      </c>
      <c r="L76" s="189">
        <f>K73*O76</f>
        <v>0.05</v>
      </c>
      <c r="M76" s="192" t="s">
        <v>286</v>
      </c>
      <c r="N76" s="185"/>
      <c r="O76" s="190">
        <v>0.1</v>
      </c>
    </row>
    <row r="77" spans="1:16" x14ac:dyDescent="0.2">
      <c r="A77" s="41" t="s">
        <v>906</v>
      </c>
      <c r="F77" s="5"/>
      <c r="G77" s="452" t="s">
        <v>918</v>
      </c>
      <c r="H77" s="187"/>
      <c r="L77" s="189">
        <f>K73*O77</f>
        <v>1.75</v>
      </c>
      <c r="M77" s="192" t="s">
        <v>232</v>
      </c>
      <c r="N77" s="185"/>
      <c r="O77" s="190">
        <v>3.5</v>
      </c>
    </row>
    <row r="78" spans="1:16" x14ac:dyDescent="0.2">
      <c r="A78" s="41" t="s">
        <v>911</v>
      </c>
      <c r="F78" s="5"/>
      <c r="G78" s="13"/>
      <c r="L78" s="193">
        <f>K73*O78</f>
        <v>1.2500000000000001E-2</v>
      </c>
      <c r="M78" s="192" t="s">
        <v>287</v>
      </c>
      <c r="N78" s="185"/>
      <c r="O78" s="190">
        <v>2.5000000000000001E-2</v>
      </c>
    </row>
    <row r="79" spans="1:16" ht="13.5" thickBot="1" x14ac:dyDescent="0.25">
      <c r="L79" s="194">
        <f>K73*O79</f>
        <v>1.7500000000000002E-2</v>
      </c>
      <c r="M79" s="195" t="s">
        <v>719</v>
      </c>
      <c r="N79" s="196"/>
      <c r="O79" s="197">
        <v>3.5000000000000003E-2</v>
      </c>
    </row>
    <row r="85" spans="1:16" x14ac:dyDescent="0.2">
      <c r="L85" s="128" t="s">
        <v>288</v>
      </c>
    </row>
    <row r="86" spans="1:16" x14ac:dyDescent="0.2">
      <c r="L86" s="54" t="s">
        <v>289</v>
      </c>
    </row>
    <row r="87" spans="1:16" ht="13.5" thickBot="1" x14ac:dyDescent="0.25">
      <c r="A87" s="13"/>
      <c r="L87" s="198" t="s">
        <v>290</v>
      </c>
    </row>
    <row r="88" spans="1:16" x14ac:dyDescent="0.2">
      <c r="A88" s="13"/>
      <c r="B88" s="127"/>
      <c r="L88" s="199" t="s">
        <v>103</v>
      </c>
      <c r="M88" s="199" t="s">
        <v>291</v>
      </c>
      <c r="N88" s="199" t="s">
        <v>292</v>
      </c>
      <c r="O88" s="164"/>
      <c r="P88" s="136"/>
    </row>
    <row r="89" spans="1:16" x14ac:dyDescent="0.2">
      <c r="A89" s="13"/>
      <c r="L89" s="49"/>
      <c r="M89" s="49" t="s">
        <v>293</v>
      </c>
      <c r="N89" s="49"/>
      <c r="O89" s="5"/>
      <c r="P89" s="50"/>
    </row>
    <row r="90" spans="1:16" ht="13.5" thickBot="1" x14ac:dyDescent="0.25">
      <c r="L90" s="56"/>
      <c r="M90" s="200" t="s">
        <v>294</v>
      </c>
      <c r="N90" s="56"/>
      <c r="O90" s="155"/>
      <c r="P90" s="141"/>
    </row>
    <row r="91" spans="1:16" x14ac:dyDescent="0.2">
      <c r="L91" s="49" t="s">
        <v>295</v>
      </c>
      <c r="M91" s="49">
        <v>15</v>
      </c>
      <c r="N91" s="49"/>
      <c r="O91" s="5"/>
      <c r="P91" s="50"/>
    </row>
    <row r="92" spans="1:16" x14ac:dyDescent="0.2">
      <c r="L92" s="49" t="s">
        <v>43</v>
      </c>
      <c r="M92" s="49">
        <v>30</v>
      </c>
      <c r="N92" s="201" t="s">
        <v>296</v>
      </c>
      <c r="O92" s="5"/>
      <c r="P92" s="50"/>
    </row>
    <row r="93" spans="1:16" ht="13.5" thickBot="1" x14ac:dyDescent="0.25">
      <c r="L93" s="56" t="s">
        <v>43</v>
      </c>
      <c r="M93" s="56">
        <v>10</v>
      </c>
      <c r="N93" s="202" t="s">
        <v>297</v>
      </c>
      <c r="O93" s="155"/>
      <c r="P93" s="141"/>
    </row>
    <row r="94" spans="1:16" x14ac:dyDescent="0.2">
      <c r="A94" s="127"/>
    </row>
    <row r="95" spans="1:16" x14ac:dyDescent="0.2">
      <c r="A95" s="127"/>
    </row>
    <row r="96" spans="1:16" x14ac:dyDescent="0.2">
      <c r="A96" s="127"/>
    </row>
  </sheetData>
  <sheetProtection password="D65F" sheet="1" objects="1" scenarios="1"/>
  <customSheetViews>
    <customSheetView guid="{2A376E74-9008-4CC4-AF78-5E9088D4FA1D}" state="hidden">
      <pageMargins left="0.7" right="0.7" top="0.78740157499999996" bottom="0.78740157499999996" header="0.3" footer="0.3"/>
      <pageSetup paperSize="9" orientation="portrait" horizontalDpi="4294967293" verticalDpi="0" r:id="rId1"/>
    </customSheetView>
  </customSheetViews>
  <mergeCells count="20">
    <mergeCell ref="G28:H28"/>
    <mergeCell ref="G29:H29"/>
    <mergeCell ref="G30:H30"/>
    <mergeCell ref="G27:H27"/>
    <mergeCell ref="D28:E28"/>
    <mergeCell ref="D29:E29"/>
    <mergeCell ref="D30:E30"/>
    <mergeCell ref="D31:E31"/>
    <mergeCell ref="D32:E32"/>
    <mergeCell ref="I72:K72"/>
    <mergeCell ref="I75:K75"/>
    <mergeCell ref="B58:I58"/>
    <mergeCell ref="B61:I61"/>
    <mergeCell ref="B64:I64"/>
    <mergeCell ref="B59:I59"/>
    <mergeCell ref="B60:I60"/>
    <mergeCell ref="B65:I65"/>
    <mergeCell ref="B66:I66"/>
    <mergeCell ref="B67:I67"/>
    <mergeCell ref="B68:I68"/>
  </mergeCells>
  <pageMargins left="0.7" right="0.7" top="0.78740157499999996" bottom="0.78740157499999996" header="0.3" footer="0.3"/>
  <pageSetup paperSize="9" orientation="portrait" horizontalDpi="4294967293"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WVO272"/>
  <sheetViews>
    <sheetView workbookViewId="0"/>
  </sheetViews>
  <sheetFormatPr baseColWidth="10" defaultColWidth="0" defaultRowHeight="12.75" zeroHeight="1" x14ac:dyDescent="0.2"/>
  <cols>
    <col min="1" max="1" width="11.42578125" style="780" customWidth="1"/>
    <col min="2" max="2" width="59.140625" style="127" customWidth="1"/>
    <col min="3" max="5" width="11.42578125" style="127" customWidth="1"/>
    <col min="6" max="6" width="5.7109375" style="127" customWidth="1"/>
    <col min="7" max="9" width="11.42578125" style="31" customWidth="1"/>
    <col min="10" max="10" width="2.42578125" style="780" customWidth="1"/>
    <col min="11" max="256" width="11.42578125" style="31" hidden="1"/>
    <col min="257" max="257" width="5.7109375" style="31" hidden="1"/>
    <col min="258" max="258" width="59.140625" style="31" hidden="1"/>
    <col min="259" max="261" width="11.42578125" style="31" hidden="1"/>
    <col min="262" max="262" width="5.7109375" style="31" hidden="1"/>
    <col min="263" max="512" width="11.42578125" style="31" hidden="1"/>
    <col min="513" max="513" width="5.7109375" style="31" hidden="1"/>
    <col min="514" max="514" width="59.140625" style="31" hidden="1"/>
    <col min="515" max="517" width="11.42578125" style="31" hidden="1"/>
    <col min="518" max="518" width="5.7109375" style="31" hidden="1"/>
    <col min="519" max="768" width="11.42578125" style="31" hidden="1"/>
    <col min="769" max="769" width="5.7109375" style="31" hidden="1"/>
    <col min="770" max="770" width="59.140625" style="31" hidden="1"/>
    <col min="771" max="773" width="11.42578125" style="31" hidden="1"/>
    <col min="774" max="774" width="5.7109375" style="31" hidden="1"/>
    <col min="775" max="1025" width="11.42578125" style="31" hidden="1"/>
    <col min="1026" max="1026" width="59.140625" style="31" hidden="1"/>
    <col min="1027" max="1029" width="11.42578125" style="31" hidden="1"/>
    <col min="1030" max="1030" width="5.7109375" style="31" hidden="1"/>
    <col min="1031" max="1280" width="11.42578125" style="31" hidden="1"/>
    <col min="1281" max="1281" width="5.7109375" style="31" hidden="1"/>
    <col min="1282" max="1282" width="59.140625" style="31" hidden="1"/>
    <col min="1283" max="1285" width="11.42578125" style="31" hidden="1"/>
    <col min="1286" max="1286" width="5.7109375" style="31" hidden="1"/>
    <col min="1287" max="1536" width="11.42578125" style="31" hidden="1"/>
    <col min="1537" max="1537" width="5.7109375" style="31" hidden="1"/>
    <col min="1538" max="1538" width="59.140625" style="31" hidden="1"/>
    <col min="1539" max="1541" width="11.42578125" style="31" hidden="1"/>
    <col min="1542" max="1542" width="5.7109375" style="31" hidden="1"/>
    <col min="1543" max="1792" width="11.42578125" style="31" hidden="1"/>
    <col min="1793" max="1793" width="5.7109375" style="31" hidden="1"/>
    <col min="1794" max="1794" width="59.140625" style="31" hidden="1"/>
    <col min="1795" max="1797" width="11.42578125" style="31" hidden="1"/>
    <col min="1798" max="1798" width="5.7109375" style="31" hidden="1"/>
    <col min="1799" max="2049" width="11.42578125" style="31" hidden="1"/>
    <col min="2050" max="2050" width="59.140625" style="31" hidden="1"/>
    <col min="2051" max="2053" width="11.42578125" style="31" hidden="1"/>
    <col min="2054" max="2054" width="5.7109375" style="31" hidden="1"/>
    <col min="2055" max="2304" width="11.42578125" style="31" hidden="1"/>
    <col min="2305" max="2305" width="5.7109375" style="31" hidden="1"/>
    <col min="2306" max="2306" width="59.140625" style="31" hidden="1"/>
    <col min="2307" max="2309" width="11.42578125" style="31" hidden="1"/>
    <col min="2310" max="2310" width="5.7109375" style="31" hidden="1"/>
    <col min="2311" max="2560" width="11.42578125" style="31" hidden="1"/>
    <col min="2561" max="2561" width="5.7109375" style="31" hidden="1"/>
    <col min="2562" max="2562" width="59.140625" style="31" hidden="1"/>
    <col min="2563" max="2565" width="11.42578125" style="31" hidden="1"/>
    <col min="2566" max="2566" width="5.7109375" style="31" hidden="1"/>
    <col min="2567" max="2816" width="11.42578125" style="31" hidden="1"/>
    <col min="2817" max="2817" width="5.7109375" style="31" hidden="1"/>
    <col min="2818" max="2818" width="59.140625" style="31" hidden="1"/>
    <col min="2819" max="2821" width="11.42578125" style="31" hidden="1"/>
    <col min="2822" max="2822" width="5.7109375" style="31" hidden="1"/>
    <col min="2823" max="3073" width="11.42578125" style="31" hidden="1"/>
    <col min="3074" max="3074" width="59.140625" style="31" hidden="1"/>
    <col min="3075" max="3077" width="11.42578125" style="31" hidden="1"/>
    <col min="3078" max="3078" width="5.7109375" style="31" hidden="1"/>
    <col min="3079" max="3328" width="11.42578125" style="31" hidden="1"/>
    <col min="3329" max="3329" width="5.7109375" style="31" hidden="1"/>
    <col min="3330" max="3330" width="59.140625" style="31" hidden="1"/>
    <col min="3331" max="3333" width="11.42578125" style="31" hidden="1"/>
    <col min="3334" max="3334" width="5.7109375" style="31" hidden="1"/>
    <col min="3335" max="3584" width="11.42578125" style="31" hidden="1"/>
    <col min="3585" max="3585" width="5.7109375" style="31" hidden="1"/>
    <col min="3586" max="3586" width="59.140625" style="31" hidden="1"/>
    <col min="3587" max="3589" width="11.42578125" style="31" hidden="1"/>
    <col min="3590" max="3590" width="5.7109375" style="31" hidden="1"/>
    <col min="3591" max="3840" width="11.42578125" style="31" hidden="1"/>
    <col min="3841" max="3841" width="5.7109375" style="31" hidden="1"/>
    <col min="3842" max="3842" width="59.140625" style="31" hidden="1"/>
    <col min="3843" max="3845" width="11.42578125" style="31" hidden="1"/>
    <col min="3846" max="3846" width="5.7109375" style="31" hidden="1"/>
    <col min="3847" max="4097" width="11.42578125" style="31" hidden="1"/>
    <col min="4098" max="4098" width="59.140625" style="31" hidden="1"/>
    <col min="4099" max="4101" width="11.42578125" style="31" hidden="1"/>
    <col min="4102" max="4102" width="5.7109375" style="31" hidden="1"/>
    <col min="4103" max="4352" width="11.42578125" style="31" hidden="1"/>
    <col min="4353" max="4353" width="5.7109375" style="31" hidden="1"/>
    <col min="4354" max="4354" width="59.140625" style="31" hidden="1"/>
    <col min="4355" max="4357" width="11.42578125" style="31" hidden="1"/>
    <col min="4358" max="4358" width="5.7109375" style="31" hidden="1"/>
    <col min="4359" max="4608" width="11.42578125" style="31" hidden="1"/>
    <col min="4609" max="4609" width="5.7109375" style="31" hidden="1"/>
    <col min="4610" max="4610" width="59.140625" style="31" hidden="1"/>
    <col min="4611" max="4613" width="11.42578125" style="31" hidden="1"/>
    <col min="4614" max="4614" width="5.7109375" style="31" hidden="1"/>
    <col min="4615" max="4864" width="11.42578125" style="31" hidden="1"/>
    <col min="4865" max="4865" width="5.7109375" style="31" hidden="1"/>
    <col min="4866" max="4866" width="59.140625" style="31" hidden="1"/>
    <col min="4867" max="4869" width="11.42578125" style="31" hidden="1"/>
    <col min="4870" max="4870" width="5.7109375" style="31" hidden="1"/>
    <col min="4871" max="5121" width="11.42578125" style="31" hidden="1"/>
    <col min="5122" max="5122" width="59.140625" style="31" hidden="1"/>
    <col min="5123" max="5125" width="11.42578125" style="31" hidden="1"/>
    <col min="5126" max="5126" width="5.7109375" style="31" hidden="1"/>
    <col min="5127" max="5376" width="11.42578125" style="31" hidden="1"/>
    <col min="5377" max="5377" width="5.7109375" style="31" hidden="1"/>
    <col min="5378" max="5378" width="59.140625" style="31" hidden="1"/>
    <col min="5379" max="5381" width="11.42578125" style="31" hidden="1"/>
    <col min="5382" max="5382" width="5.7109375" style="31" hidden="1"/>
    <col min="5383" max="5632" width="11.42578125" style="31" hidden="1"/>
    <col min="5633" max="5633" width="5.7109375" style="31" hidden="1"/>
    <col min="5634" max="5634" width="59.140625" style="31" hidden="1"/>
    <col min="5635" max="5637" width="11.42578125" style="31" hidden="1"/>
    <col min="5638" max="5638" width="5.7109375" style="31" hidden="1"/>
    <col min="5639" max="5888" width="11.42578125" style="31" hidden="1"/>
    <col min="5889" max="5889" width="5.7109375" style="31" hidden="1"/>
    <col min="5890" max="5890" width="59.140625" style="31" hidden="1"/>
    <col min="5891" max="5893" width="11.42578125" style="31" hidden="1"/>
    <col min="5894" max="5894" width="5.7109375" style="31" hidden="1"/>
    <col min="5895" max="6145" width="11.42578125" style="31" hidden="1"/>
    <col min="6146" max="6146" width="59.140625" style="31" hidden="1"/>
    <col min="6147" max="6149" width="11.42578125" style="31" hidden="1"/>
    <col min="6150" max="6150" width="5.7109375" style="31" hidden="1"/>
    <col min="6151" max="6400" width="11.42578125" style="31" hidden="1"/>
    <col min="6401" max="6401" width="5.7109375" style="31" hidden="1"/>
    <col min="6402" max="6402" width="59.140625" style="31" hidden="1"/>
    <col min="6403" max="6405" width="11.42578125" style="31" hidden="1"/>
    <col min="6406" max="6406" width="5.7109375" style="31" hidden="1"/>
    <col min="6407" max="6656" width="11.42578125" style="31" hidden="1"/>
    <col min="6657" max="6657" width="5.7109375" style="31" hidden="1"/>
    <col min="6658" max="6658" width="59.140625" style="31" hidden="1"/>
    <col min="6659" max="6661" width="11.42578125" style="31" hidden="1"/>
    <col min="6662" max="6662" width="5.7109375" style="31" hidden="1"/>
    <col min="6663" max="6912" width="11.42578125" style="31" hidden="1"/>
    <col min="6913" max="6913" width="5.7109375" style="31" hidden="1"/>
    <col min="6914" max="6914" width="59.140625" style="31" hidden="1"/>
    <col min="6915" max="6917" width="11.42578125" style="31" hidden="1"/>
    <col min="6918" max="6918" width="5.7109375" style="31" hidden="1"/>
    <col min="6919" max="7169" width="11.42578125" style="31" hidden="1"/>
    <col min="7170" max="7170" width="59.140625" style="31" hidden="1"/>
    <col min="7171" max="7173" width="11.42578125" style="31" hidden="1"/>
    <col min="7174" max="7174" width="5.7109375" style="31" hidden="1"/>
    <col min="7175" max="7424" width="11.42578125" style="31" hidden="1"/>
    <col min="7425" max="7425" width="5.7109375" style="31" hidden="1"/>
    <col min="7426" max="7426" width="59.140625" style="31" hidden="1"/>
    <col min="7427" max="7429" width="11.42578125" style="31" hidden="1"/>
    <col min="7430" max="7430" width="5.7109375" style="31" hidden="1"/>
    <col min="7431" max="7680" width="11.42578125" style="31" hidden="1"/>
    <col min="7681" max="7681" width="5.7109375" style="31" hidden="1"/>
    <col min="7682" max="7682" width="59.140625" style="31" hidden="1"/>
    <col min="7683" max="7685" width="11.42578125" style="31" hidden="1"/>
    <col min="7686" max="7686" width="5.7109375" style="31" hidden="1"/>
    <col min="7687" max="7936" width="11.42578125" style="31" hidden="1"/>
    <col min="7937" max="7937" width="5.7109375" style="31" hidden="1"/>
    <col min="7938" max="7938" width="59.140625" style="31" hidden="1"/>
    <col min="7939" max="7941" width="11.42578125" style="31" hidden="1"/>
    <col min="7942" max="7942" width="5.7109375" style="31" hidden="1"/>
    <col min="7943" max="8193" width="11.42578125" style="31" hidden="1"/>
    <col min="8194" max="8194" width="59.140625" style="31" hidden="1"/>
    <col min="8195" max="8197" width="11.42578125" style="31" hidden="1"/>
    <col min="8198" max="8198" width="5.7109375" style="31" hidden="1"/>
    <col min="8199" max="8448" width="11.42578125" style="31" hidden="1"/>
    <col min="8449" max="8449" width="5.7109375" style="31" hidden="1"/>
    <col min="8450" max="8450" width="59.140625" style="31" hidden="1"/>
    <col min="8451" max="8453" width="11.42578125" style="31" hidden="1"/>
    <col min="8454" max="8454" width="5.7109375" style="31" hidden="1"/>
    <col min="8455" max="8704" width="11.42578125" style="31" hidden="1"/>
    <col min="8705" max="8705" width="5.7109375" style="31" hidden="1"/>
    <col min="8706" max="8706" width="59.140625" style="31" hidden="1"/>
    <col min="8707" max="8709" width="11.42578125" style="31" hidden="1"/>
    <col min="8710" max="8710" width="5.7109375" style="31" hidden="1"/>
    <col min="8711" max="8960" width="11.42578125" style="31" hidden="1"/>
    <col min="8961" max="8961" width="5.7109375" style="31" hidden="1"/>
    <col min="8962" max="8962" width="59.140625" style="31" hidden="1"/>
    <col min="8963" max="8965" width="11.42578125" style="31" hidden="1"/>
    <col min="8966" max="8966" width="5.7109375" style="31" hidden="1"/>
    <col min="8967" max="9217" width="11.42578125" style="31" hidden="1"/>
    <col min="9218" max="9218" width="59.140625" style="31" hidden="1"/>
    <col min="9219" max="9221" width="11.42578125" style="31" hidden="1"/>
    <col min="9222" max="9222" width="5.7109375" style="31" hidden="1"/>
    <col min="9223" max="9472" width="11.42578125" style="31" hidden="1"/>
    <col min="9473" max="9473" width="5.7109375" style="31" hidden="1"/>
    <col min="9474" max="9474" width="59.140625" style="31" hidden="1"/>
    <col min="9475" max="9477" width="11.42578125" style="31" hidden="1"/>
    <col min="9478" max="9478" width="5.7109375" style="31" hidden="1"/>
    <col min="9479" max="9728" width="11.42578125" style="31" hidden="1"/>
    <col min="9729" max="9729" width="5.7109375" style="31" hidden="1"/>
    <col min="9730" max="9730" width="59.140625" style="31" hidden="1"/>
    <col min="9731" max="9733" width="11.42578125" style="31" hidden="1"/>
    <col min="9734" max="9734" width="5.7109375" style="31" hidden="1"/>
    <col min="9735" max="9984" width="11.42578125" style="31" hidden="1"/>
    <col min="9985" max="9985" width="5.7109375" style="31" hidden="1"/>
    <col min="9986" max="9986" width="59.140625" style="31" hidden="1"/>
    <col min="9987" max="9989" width="11.42578125" style="31" hidden="1"/>
    <col min="9990" max="9990" width="5.7109375" style="31" hidden="1"/>
    <col min="9991" max="10241" width="11.42578125" style="31" hidden="1"/>
    <col min="10242" max="10242" width="59.140625" style="31" hidden="1"/>
    <col min="10243" max="10245" width="11.42578125" style="31" hidden="1"/>
    <col min="10246" max="10246" width="5.7109375" style="31" hidden="1"/>
    <col min="10247" max="10496" width="11.42578125" style="31" hidden="1"/>
    <col min="10497" max="10497" width="5.7109375" style="31" hidden="1"/>
    <col min="10498" max="10498" width="59.140625" style="31" hidden="1"/>
    <col min="10499" max="10501" width="11.42578125" style="31" hidden="1"/>
    <col min="10502" max="10502" width="5.7109375" style="31" hidden="1"/>
    <col min="10503" max="10752" width="11.42578125" style="31" hidden="1"/>
    <col min="10753" max="10753" width="5.7109375" style="31" hidden="1"/>
    <col min="10754" max="10754" width="59.140625" style="31" hidden="1"/>
    <col min="10755" max="10757" width="11.42578125" style="31" hidden="1"/>
    <col min="10758" max="10758" width="5.7109375" style="31" hidden="1"/>
    <col min="10759" max="11008" width="11.42578125" style="31" hidden="1"/>
    <col min="11009" max="11009" width="5.7109375" style="31" hidden="1"/>
    <col min="11010" max="11010" width="59.140625" style="31" hidden="1"/>
    <col min="11011" max="11013" width="11.42578125" style="31" hidden="1"/>
    <col min="11014" max="11014" width="5.7109375" style="31" hidden="1"/>
    <col min="11015" max="11265" width="11.42578125" style="31" hidden="1"/>
    <col min="11266" max="11266" width="59.140625" style="31" hidden="1"/>
    <col min="11267" max="11269" width="11.42578125" style="31" hidden="1"/>
    <col min="11270" max="11270" width="5.7109375" style="31" hidden="1"/>
    <col min="11271" max="11520" width="11.42578125" style="31" hidden="1"/>
    <col min="11521" max="11521" width="5.7109375" style="31" hidden="1"/>
    <col min="11522" max="11522" width="59.140625" style="31" hidden="1"/>
    <col min="11523" max="11525" width="11.42578125" style="31" hidden="1"/>
    <col min="11526" max="11526" width="5.7109375" style="31" hidden="1"/>
    <col min="11527" max="11776" width="11.42578125" style="31" hidden="1"/>
    <col min="11777" max="11777" width="5.7109375" style="31" hidden="1"/>
    <col min="11778" max="11778" width="59.140625" style="31" hidden="1"/>
    <col min="11779" max="11781" width="11.42578125" style="31" hidden="1"/>
    <col min="11782" max="11782" width="5.7109375" style="31" hidden="1"/>
    <col min="11783" max="12032" width="11.42578125" style="31" hidden="1"/>
    <col min="12033" max="12033" width="5.7109375" style="31" hidden="1"/>
    <col min="12034" max="12034" width="59.140625" style="31" hidden="1"/>
    <col min="12035" max="12037" width="11.42578125" style="31" hidden="1"/>
    <col min="12038" max="12038" width="5.7109375" style="31" hidden="1"/>
    <col min="12039" max="12289" width="11.42578125" style="31" hidden="1"/>
    <col min="12290" max="12290" width="59.140625" style="31" hidden="1"/>
    <col min="12291" max="12293" width="11.42578125" style="31" hidden="1"/>
    <col min="12294" max="12294" width="5.7109375" style="31" hidden="1"/>
    <col min="12295" max="12544" width="11.42578125" style="31" hidden="1"/>
    <col min="12545" max="12545" width="5.7109375" style="31" hidden="1"/>
    <col min="12546" max="12546" width="59.140625" style="31" hidden="1"/>
    <col min="12547" max="12549" width="11.42578125" style="31" hidden="1"/>
    <col min="12550" max="12550" width="5.7109375" style="31" hidden="1"/>
    <col min="12551" max="12800" width="11.42578125" style="31" hidden="1"/>
    <col min="12801" max="12801" width="5.7109375" style="31" hidden="1"/>
    <col min="12802" max="12802" width="59.140625" style="31" hidden="1"/>
    <col min="12803" max="12805" width="11.42578125" style="31" hidden="1"/>
    <col min="12806" max="12806" width="5.7109375" style="31" hidden="1"/>
    <col min="12807" max="13056" width="11.42578125" style="31" hidden="1"/>
    <col min="13057" max="13057" width="5.7109375" style="31" hidden="1"/>
    <col min="13058" max="13058" width="59.140625" style="31" hidden="1"/>
    <col min="13059" max="13061" width="11.42578125" style="31" hidden="1"/>
    <col min="13062" max="13062" width="5.7109375" style="31" hidden="1"/>
    <col min="13063" max="13313" width="11.42578125" style="31" hidden="1"/>
    <col min="13314" max="13314" width="59.140625" style="31" hidden="1"/>
    <col min="13315" max="13317" width="11.42578125" style="31" hidden="1"/>
    <col min="13318" max="13318" width="5.7109375" style="31" hidden="1"/>
    <col min="13319" max="13568" width="11.42578125" style="31" hidden="1"/>
    <col min="13569" max="13569" width="5.7109375" style="31" hidden="1"/>
    <col min="13570" max="13570" width="59.140625" style="31" hidden="1"/>
    <col min="13571" max="13573" width="11.42578125" style="31" hidden="1"/>
    <col min="13574" max="13574" width="5.7109375" style="31" hidden="1"/>
    <col min="13575" max="13824" width="11.42578125" style="31" hidden="1"/>
    <col min="13825" max="13825" width="5.7109375" style="31" hidden="1"/>
    <col min="13826" max="13826" width="59.140625" style="31" hidden="1"/>
    <col min="13827" max="13829" width="11.42578125" style="31" hidden="1"/>
    <col min="13830" max="13830" width="5.7109375" style="31" hidden="1"/>
    <col min="13831" max="14080" width="11.42578125" style="31" hidden="1"/>
    <col min="14081" max="14081" width="5.7109375" style="31" hidden="1"/>
    <col min="14082" max="14082" width="59.140625" style="31" hidden="1"/>
    <col min="14083" max="14085" width="11.42578125" style="31" hidden="1"/>
    <col min="14086" max="14086" width="5.7109375" style="31" hidden="1"/>
    <col min="14087" max="14337" width="11.42578125" style="31" hidden="1"/>
    <col min="14338" max="14338" width="59.140625" style="31" hidden="1"/>
    <col min="14339" max="14341" width="11.42578125" style="31" hidden="1"/>
    <col min="14342" max="14342" width="5.7109375" style="31" hidden="1"/>
    <col min="14343" max="14592" width="11.42578125" style="31" hidden="1"/>
    <col min="14593" max="14593" width="5.7109375" style="31" hidden="1"/>
    <col min="14594" max="14594" width="59.140625" style="31" hidden="1"/>
    <col min="14595" max="14597" width="11.42578125" style="31" hidden="1"/>
    <col min="14598" max="14598" width="5.7109375" style="31" hidden="1"/>
    <col min="14599" max="14848" width="11.42578125" style="31" hidden="1"/>
    <col min="14849" max="14849" width="5.7109375" style="31" hidden="1"/>
    <col min="14850" max="14850" width="59.140625" style="31" hidden="1"/>
    <col min="14851" max="14853" width="11.42578125" style="31" hidden="1"/>
    <col min="14854" max="14854" width="5.7109375" style="31" hidden="1"/>
    <col min="14855" max="15104" width="11.42578125" style="31" hidden="1"/>
    <col min="15105" max="15105" width="5.7109375" style="31" hidden="1"/>
    <col min="15106" max="15106" width="59.140625" style="31" hidden="1"/>
    <col min="15107" max="15109" width="11.42578125" style="31" hidden="1"/>
    <col min="15110" max="15110" width="5.7109375" style="31" hidden="1"/>
    <col min="15111" max="15361" width="11.42578125" style="31" hidden="1"/>
    <col min="15362" max="15362" width="59.140625" style="31" hidden="1"/>
    <col min="15363" max="15365" width="11.42578125" style="31" hidden="1"/>
    <col min="15366" max="15366" width="5.7109375" style="31" hidden="1"/>
    <col min="15367" max="15616" width="11.42578125" style="31" hidden="1"/>
    <col min="15617" max="15617" width="5.7109375" style="31" hidden="1"/>
    <col min="15618" max="15618" width="59.140625" style="31" hidden="1"/>
    <col min="15619" max="15621" width="11.42578125" style="31" hidden="1"/>
    <col min="15622" max="15622" width="5.7109375" style="31" hidden="1"/>
    <col min="15623" max="15872" width="11.42578125" style="31" hidden="1"/>
    <col min="15873" max="15873" width="5.7109375" style="31" hidden="1"/>
    <col min="15874" max="15874" width="59.140625" style="31" hidden="1"/>
    <col min="15875" max="15877" width="11.42578125" style="31" hidden="1"/>
    <col min="15878" max="15878" width="5.7109375" style="31" hidden="1"/>
    <col min="15879" max="16128" width="11.42578125" style="31" hidden="1"/>
    <col min="16129" max="16129" width="5.7109375" style="31" hidden="1"/>
    <col min="16130" max="16130" width="59.140625" style="31" hidden="1"/>
    <col min="16131" max="16133" width="11.42578125" style="31" hidden="1"/>
    <col min="16134" max="16135" width="5.7109375" style="31" hidden="1"/>
    <col min="16136" max="16384" width="11.42578125" style="31" hidden="1"/>
  </cols>
  <sheetData>
    <row r="1" spans="2:9" ht="27" customHeight="1" thickBot="1" x14ac:dyDescent="0.25">
      <c r="B1" s="453"/>
      <c r="C1" s="453"/>
      <c r="D1" s="453"/>
      <c r="E1" s="453"/>
      <c r="F1" s="453"/>
      <c r="G1" s="780"/>
      <c r="H1" s="780"/>
      <c r="I1" s="780"/>
    </row>
    <row r="2" spans="2:9" ht="15.75" x14ac:dyDescent="0.25">
      <c r="B2" s="371" t="s">
        <v>832</v>
      </c>
      <c r="C2" s="786" t="s">
        <v>103</v>
      </c>
      <c r="D2" s="1072" t="s">
        <v>390</v>
      </c>
      <c r="E2" s="1073"/>
      <c r="F2" s="372"/>
      <c r="G2" s="340" t="s">
        <v>833</v>
      </c>
      <c r="H2" s="104"/>
      <c r="I2" s="105"/>
    </row>
    <row r="3" spans="2:9" x14ac:dyDescent="0.2">
      <c r="B3" s="373" t="s">
        <v>971</v>
      </c>
      <c r="C3" s="374"/>
      <c r="D3" s="374"/>
      <c r="E3" s="374"/>
      <c r="F3" s="374"/>
      <c r="G3" s="106"/>
      <c r="H3" s="107"/>
      <c r="I3" s="108"/>
    </row>
    <row r="4" spans="2:9" x14ac:dyDescent="0.2">
      <c r="B4" s="373" t="s">
        <v>834</v>
      </c>
      <c r="C4" s="374"/>
      <c r="D4" s="374"/>
      <c r="E4" s="374"/>
      <c r="F4" s="374"/>
      <c r="G4" s="106"/>
      <c r="H4" s="107"/>
      <c r="I4" s="108"/>
    </row>
    <row r="5" spans="2:9" x14ac:dyDescent="0.2">
      <c r="B5" s="373" t="s">
        <v>972</v>
      </c>
      <c r="C5" s="374"/>
      <c r="D5" s="374"/>
      <c r="E5" s="374"/>
      <c r="F5" s="374"/>
      <c r="G5" s="106"/>
      <c r="H5" s="107"/>
      <c r="I5" s="108"/>
    </row>
    <row r="6" spans="2:9" x14ac:dyDescent="0.2">
      <c r="B6" s="1074" t="s">
        <v>899</v>
      </c>
      <c r="C6" s="1075"/>
      <c r="D6" s="1075"/>
      <c r="E6" s="1075"/>
      <c r="F6" s="1075"/>
      <c r="G6" s="106"/>
      <c r="H6" s="107"/>
      <c r="I6" s="108"/>
    </row>
    <row r="7" spans="2:9" ht="15.75" customHeight="1" x14ac:dyDescent="0.2">
      <c r="B7" s="375" t="s">
        <v>959</v>
      </c>
      <c r="C7" s="778" t="s">
        <v>835</v>
      </c>
      <c r="D7" s="778"/>
      <c r="E7" s="778">
        <f>IF(Fischzuchtanlage!C18=3,1,0)</f>
        <v>1</v>
      </c>
      <c r="F7" s="376"/>
      <c r="G7" s="1076" t="s">
        <v>836</v>
      </c>
      <c r="H7" s="1077"/>
      <c r="I7" s="1078"/>
    </row>
    <row r="8" spans="2:9" x14ac:dyDescent="0.2">
      <c r="B8" s="373" t="s">
        <v>837</v>
      </c>
      <c r="C8" s="376"/>
      <c r="D8" s="377">
        <f>IF(Fischzuchtanlage!J27/1000&gt;30,0,Fischzuchtanlage!J27/1000)</f>
        <v>0</v>
      </c>
      <c r="E8" s="778">
        <f>IF(D8&gt;0,1,0)</f>
        <v>0</v>
      </c>
      <c r="F8" s="376"/>
      <c r="G8" s="1076"/>
      <c r="H8" s="1077"/>
      <c r="I8" s="1078"/>
    </row>
    <row r="9" spans="2:9" x14ac:dyDescent="0.2">
      <c r="B9" s="373" t="s">
        <v>838</v>
      </c>
      <c r="C9" s="376"/>
      <c r="D9" s="377">
        <f>Fischzuchtanlage!J41</f>
        <v>0</v>
      </c>
      <c r="E9" s="778">
        <f>IF(D9&gt;0,1,0)</f>
        <v>0</v>
      </c>
      <c r="F9" s="376"/>
      <c r="G9" s="1076"/>
      <c r="H9" s="1077"/>
      <c r="I9" s="1078"/>
    </row>
    <row r="10" spans="2:9" x14ac:dyDescent="0.2">
      <c r="B10" s="373" t="s">
        <v>839</v>
      </c>
      <c r="C10" s="376"/>
      <c r="D10" s="777">
        <f>Fischzuchtanlage!J27/VLOOKUP(D2,Preis,16)*1.1</f>
        <v>0</v>
      </c>
      <c r="E10" s="778">
        <f>IF(D10&gt;0,1,0)</f>
        <v>0</v>
      </c>
      <c r="F10" s="376"/>
      <c r="G10" s="106"/>
      <c r="H10" s="107"/>
      <c r="I10" s="108"/>
    </row>
    <row r="11" spans="2:9" ht="12.75" customHeight="1" thickBot="1" x14ac:dyDescent="0.25">
      <c r="B11" s="379"/>
      <c r="C11" s="779" t="s">
        <v>840</v>
      </c>
      <c r="D11" s="779"/>
      <c r="E11" s="779">
        <f>IF(SUM(E7:E10)=4,1,0)</f>
        <v>0</v>
      </c>
      <c r="F11" s="380"/>
      <c r="G11" s="109"/>
      <c r="H11" s="110"/>
      <c r="I11" s="111"/>
    </row>
    <row r="12" spans="2:9" ht="12.75" customHeight="1" x14ac:dyDescent="0.2">
      <c r="B12" s="381" t="s">
        <v>123</v>
      </c>
      <c r="C12" s="382" t="s">
        <v>486</v>
      </c>
      <c r="D12" s="382" t="s">
        <v>841</v>
      </c>
      <c r="E12" s="382" t="s">
        <v>357</v>
      </c>
      <c r="F12" s="372"/>
      <c r="G12" s="341" t="s">
        <v>486</v>
      </c>
      <c r="H12" s="342" t="s">
        <v>841</v>
      </c>
      <c r="I12" s="343" t="s">
        <v>357</v>
      </c>
    </row>
    <row r="13" spans="2:9" x14ac:dyDescent="0.2">
      <c r="B13" s="383"/>
      <c r="C13" s="384" t="s">
        <v>842</v>
      </c>
      <c r="D13" s="384" t="s">
        <v>843</v>
      </c>
      <c r="E13" s="384" t="s">
        <v>844</v>
      </c>
      <c r="F13" s="374"/>
      <c r="G13" s="344" t="s">
        <v>842</v>
      </c>
      <c r="H13" s="345" t="s">
        <v>843</v>
      </c>
      <c r="I13" s="346" t="s">
        <v>844</v>
      </c>
    </row>
    <row r="14" spans="2:9" x14ac:dyDescent="0.2">
      <c r="B14" s="385" t="s">
        <v>845</v>
      </c>
      <c r="C14" s="386">
        <f>52*$E$11</f>
        <v>0</v>
      </c>
      <c r="D14" s="386">
        <v>7</v>
      </c>
      <c r="E14" s="387">
        <f t="shared" ref="E14:E19" si="0">C14*D14</f>
        <v>0</v>
      </c>
      <c r="F14" s="388"/>
      <c r="G14" s="126">
        <f t="shared" ref="G14:H19" si="1">C14</f>
        <v>0</v>
      </c>
      <c r="H14" s="347">
        <f t="shared" si="1"/>
        <v>7</v>
      </c>
      <c r="I14" s="348">
        <f t="shared" ref="I14:I19" si="2">G14*H14</f>
        <v>0</v>
      </c>
    </row>
    <row r="15" spans="2:9" x14ac:dyDescent="0.2">
      <c r="B15" s="385" t="s">
        <v>846</v>
      </c>
      <c r="C15" s="386">
        <f>52*$E$11</f>
        <v>0</v>
      </c>
      <c r="D15" s="386">
        <v>2</v>
      </c>
      <c r="E15" s="387">
        <f t="shared" si="0"/>
        <v>0</v>
      </c>
      <c r="F15" s="388"/>
      <c r="G15" s="126">
        <f t="shared" si="1"/>
        <v>0</v>
      </c>
      <c r="H15" s="347">
        <f t="shared" si="1"/>
        <v>2</v>
      </c>
      <c r="I15" s="348">
        <f t="shared" si="2"/>
        <v>0</v>
      </c>
    </row>
    <row r="16" spans="2:9" x14ac:dyDescent="0.2">
      <c r="B16" s="385" t="s">
        <v>137</v>
      </c>
      <c r="C16" s="386">
        <f>52*$E$11</f>
        <v>0</v>
      </c>
      <c r="D16" s="386">
        <v>1.5</v>
      </c>
      <c r="E16" s="387">
        <f t="shared" si="0"/>
        <v>0</v>
      </c>
      <c r="F16" s="388"/>
      <c r="G16" s="126">
        <f t="shared" si="1"/>
        <v>0</v>
      </c>
      <c r="H16" s="347">
        <f t="shared" si="1"/>
        <v>1.5</v>
      </c>
      <c r="I16" s="348">
        <f t="shared" si="2"/>
        <v>0</v>
      </c>
    </row>
    <row r="17" spans="1:10" x14ac:dyDescent="0.2">
      <c r="B17" s="385" t="s">
        <v>847</v>
      </c>
      <c r="C17" s="386">
        <f>52*$E$11</f>
        <v>0</v>
      </c>
      <c r="D17" s="386">
        <v>1</v>
      </c>
      <c r="E17" s="387">
        <f t="shared" si="0"/>
        <v>0</v>
      </c>
      <c r="F17" s="388"/>
      <c r="G17" s="126">
        <f t="shared" si="1"/>
        <v>0</v>
      </c>
      <c r="H17" s="347">
        <f t="shared" si="1"/>
        <v>1</v>
      </c>
      <c r="I17" s="348">
        <f t="shared" si="2"/>
        <v>0</v>
      </c>
    </row>
    <row r="18" spans="1:10" x14ac:dyDescent="0.2">
      <c r="B18" s="385" t="s">
        <v>848</v>
      </c>
      <c r="C18" s="386">
        <f>D8/0.4*$E$11</f>
        <v>0</v>
      </c>
      <c r="D18" s="386">
        <v>12</v>
      </c>
      <c r="E18" s="387">
        <f t="shared" si="0"/>
        <v>0</v>
      </c>
      <c r="F18" s="388"/>
      <c r="G18" s="126">
        <f t="shared" si="1"/>
        <v>0</v>
      </c>
      <c r="H18" s="347">
        <f t="shared" si="1"/>
        <v>12</v>
      </c>
      <c r="I18" s="348">
        <f t="shared" si="2"/>
        <v>0</v>
      </c>
    </row>
    <row r="19" spans="1:10" x14ac:dyDescent="0.2">
      <c r="A19" s="781"/>
      <c r="B19" s="385" t="s">
        <v>849</v>
      </c>
      <c r="C19" s="386">
        <f>D9*4*$E$11</f>
        <v>0</v>
      </c>
      <c r="D19" s="386">
        <v>3</v>
      </c>
      <c r="E19" s="387">
        <f t="shared" si="0"/>
        <v>0</v>
      </c>
      <c r="F19" s="388"/>
      <c r="G19" s="126">
        <f t="shared" si="1"/>
        <v>0</v>
      </c>
      <c r="H19" s="347">
        <f t="shared" si="1"/>
        <v>3</v>
      </c>
      <c r="I19" s="348">
        <f t="shared" si="2"/>
        <v>0</v>
      </c>
    </row>
    <row r="20" spans="1:10" ht="13.5" thickBot="1" x14ac:dyDescent="0.25">
      <c r="B20" s="389" t="s">
        <v>850</v>
      </c>
      <c r="C20" s="390"/>
      <c r="D20" s="390"/>
      <c r="E20" s="391">
        <f>SUM(E14:E19)</f>
        <v>0</v>
      </c>
      <c r="F20" s="392"/>
      <c r="G20" s="349"/>
      <c r="H20" s="350"/>
      <c r="I20" s="351">
        <f>SUM(I14:I19)</f>
        <v>0</v>
      </c>
    </row>
    <row r="21" spans="1:10" x14ac:dyDescent="0.2">
      <c r="B21" s="402"/>
      <c r="C21" s="372"/>
      <c r="D21" s="372"/>
      <c r="E21" s="372"/>
      <c r="F21" s="372"/>
      <c r="G21" s="103"/>
      <c r="H21" s="104"/>
      <c r="I21" s="105"/>
      <c r="J21" s="785"/>
    </row>
    <row r="22" spans="1:10" s="87" customFormat="1" x14ac:dyDescent="0.2">
      <c r="A22" s="782"/>
      <c r="B22" s="393"/>
      <c r="C22" s="394" t="s">
        <v>851</v>
      </c>
      <c r="D22" s="395">
        <v>8</v>
      </c>
      <c r="E22" s="396"/>
      <c r="F22" s="397"/>
      <c r="G22" s="352"/>
      <c r="H22" s="353">
        <v>8</v>
      </c>
      <c r="I22" s="354"/>
      <c r="J22" s="782"/>
    </row>
    <row r="23" spans="1:10" x14ac:dyDescent="0.2">
      <c r="B23" s="398" t="s">
        <v>111</v>
      </c>
      <c r="C23" s="399" t="s">
        <v>852</v>
      </c>
      <c r="D23" s="399" t="s">
        <v>853</v>
      </c>
      <c r="E23" s="399" t="s">
        <v>854</v>
      </c>
      <c r="F23" s="374"/>
      <c r="G23" s="344" t="s">
        <v>852</v>
      </c>
      <c r="H23" s="345" t="s">
        <v>853</v>
      </c>
      <c r="I23" s="355" t="s">
        <v>854</v>
      </c>
    </row>
    <row r="24" spans="1:10" x14ac:dyDescent="0.2">
      <c r="B24" s="385" t="s">
        <v>855</v>
      </c>
      <c r="C24" s="387">
        <f>0.1*C27</f>
        <v>0</v>
      </c>
      <c r="D24" s="400">
        <f>100/D$22</f>
        <v>12.5</v>
      </c>
      <c r="E24" s="387">
        <f>C24*D24/100</f>
        <v>0</v>
      </c>
      <c r="F24" s="388"/>
      <c r="G24" s="356">
        <f>C24</f>
        <v>0</v>
      </c>
      <c r="H24" s="357">
        <f>100/H$22</f>
        <v>12.5</v>
      </c>
      <c r="I24" s="348">
        <f>G24*H24/100</f>
        <v>0</v>
      </c>
    </row>
    <row r="25" spans="1:10" x14ac:dyDescent="0.2">
      <c r="B25" s="385" t="s">
        <v>856</v>
      </c>
      <c r="C25" s="387">
        <f>0.08*C27</f>
        <v>0</v>
      </c>
      <c r="D25" s="400">
        <f>100/D$22</f>
        <v>12.5</v>
      </c>
      <c r="E25" s="387">
        <f>C25*D25/100</f>
        <v>0</v>
      </c>
      <c r="F25" s="388"/>
      <c r="G25" s="356">
        <f>C25</f>
        <v>0</v>
      </c>
      <c r="H25" s="357">
        <f>100/H$22</f>
        <v>12.5</v>
      </c>
      <c r="I25" s="348">
        <f>G25*H25/100</f>
        <v>0</v>
      </c>
    </row>
    <row r="26" spans="1:10" x14ac:dyDescent="0.2">
      <c r="B26" s="385" t="s">
        <v>857</v>
      </c>
      <c r="C26" s="387">
        <f>0.05*C27</f>
        <v>0</v>
      </c>
      <c r="D26" s="400">
        <f>100/D$22</f>
        <v>12.5</v>
      </c>
      <c r="E26" s="387">
        <f>C26*D26/100</f>
        <v>0</v>
      </c>
      <c r="F26" s="388"/>
      <c r="G26" s="356">
        <f>C26</f>
        <v>0</v>
      </c>
      <c r="H26" s="357">
        <f>100/H$22</f>
        <v>12.5</v>
      </c>
      <c r="I26" s="348">
        <f>G26*H26/100</f>
        <v>0</v>
      </c>
    </row>
    <row r="27" spans="1:10" x14ac:dyDescent="0.2">
      <c r="B27" s="385" t="s">
        <v>858</v>
      </c>
      <c r="C27" s="387">
        <f>$E$11*(4170*D8+309060)</f>
        <v>0</v>
      </c>
      <c r="D27" s="400">
        <f>100/D$22</f>
        <v>12.5</v>
      </c>
      <c r="E27" s="387">
        <f>C27*D27/100</f>
        <v>0</v>
      </c>
      <c r="F27" s="388"/>
      <c r="G27" s="356">
        <f>C27</f>
        <v>0</v>
      </c>
      <c r="H27" s="357">
        <f>100/H$22</f>
        <v>12.5</v>
      </c>
      <c r="I27" s="348">
        <f>G27*H27/100</f>
        <v>0</v>
      </c>
    </row>
    <row r="28" spans="1:10" ht="13.5" thickBot="1" x14ac:dyDescent="0.25">
      <c r="B28" s="389" t="s">
        <v>859</v>
      </c>
      <c r="C28" s="811">
        <f>SUM(C24:C27)</f>
        <v>0</v>
      </c>
      <c r="D28" s="390"/>
      <c r="E28" s="439">
        <f>SUM(E24:E27)</f>
        <v>0</v>
      </c>
      <c r="F28" s="392"/>
      <c r="G28" s="358"/>
      <c r="H28" s="359"/>
      <c r="I28" s="440">
        <f>SUM(I24:I27)</f>
        <v>0</v>
      </c>
    </row>
    <row r="29" spans="1:10" x14ac:dyDescent="0.2">
      <c r="B29" s="101"/>
      <c r="C29" s="374"/>
      <c r="D29" s="374"/>
      <c r="E29" s="374"/>
      <c r="F29" s="374"/>
      <c r="G29" s="106"/>
      <c r="H29" s="107"/>
      <c r="I29" s="108"/>
    </row>
    <row r="30" spans="1:10" ht="25.5" x14ac:dyDescent="0.2">
      <c r="B30" s="403" t="s">
        <v>363</v>
      </c>
      <c r="C30" s="404" t="s">
        <v>860</v>
      </c>
      <c r="D30" s="404" t="s">
        <v>861</v>
      </c>
      <c r="E30" s="384" t="s">
        <v>854</v>
      </c>
      <c r="F30" s="374"/>
      <c r="G30" s="360" t="s">
        <v>860</v>
      </c>
      <c r="H30" s="361" t="s">
        <v>862</v>
      </c>
      <c r="I30" s="346" t="s">
        <v>854</v>
      </c>
    </row>
    <row r="31" spans="1:10" x14ac:dyDescent="0.2">
      <c r="B31" s="385" t="s">
        <v>142</v>
      </c>
      <c r="C31" s="386">
        <f>52*$E$11</f>
        <v>0</v>
      </c>
      <c r="D31" s="386">
        <v>15</v>
      </c>
      <c r="E31" s="387">
        <f t="shared" ref="E31:E38" si="3">C31*D31</f>
        <v>0</v>
      </c>
      <c r="F31" s="388"/>
      <c r="G31" s="126">
        <f>C31</f>
        <v>0</v>
      </c>
      <c r="H31" s="347">
        <f>D31</f>
        <v>15</v>
      </c>
      <c r="I31" s="348">
        <f t="shared" ref="I31:I38" si="4">G31*H31</f>
        <v>0</v>
      </c>
    </row>
    <row r="32" spans="1:10" x14ac:dyDescent="0.2">
      <c r="B32" s="385" t="s">
        <v>148</v>
      </c>
      <c r="C32" s="386">
        <f>6*$E$11</f>
        <v>0</v>
      </c>
      <c r="D32" s="386">
        <v>100</v>
      </c>
      <c r="E32" s="387">
        <f t="shared" si="3"/>
        <v>0</v>
      </c>
      <c r="F32" s="388"/>
      <c r="G32" s="126">
        <f t="shared" ref="G32:H38" si="5">C32</f>
        <v>0</v>
      </c>
      <c r="H32" s="347">
        <f t="shared" si="5"/>
        <v>100</v>
      </c>
      <c r="I32" s="348">
        <f t="shared" si="4"/>
        <v>0</v>
      </c>
    </row>
    <row r="33" spans="2:9" x14ac:dyDescent="0.2">
      <c r="B33" s="385" t="s">
        <v>863</v>
      </c>
      <c r="C33" s="386">
        <f>1*$E$11</f>
        <v>0</v>
      </c>
      <c r="D33" s="386">
        <v>500</v>
      </c>
      <c r="E33" s="387">
        <f t="shared" si="3"/>
        <v>0</v>
      </c>
      <c r="F33" s="388"/>
      <c r="G33" s="126">
        <f t="shared" si="5"/>
        <v>0</v>
      </c>
      <c r="H33" s="347">
        <f t="shared" si="5"/>
        <v>500</v>
      </c>
      <c r="I33" s="348">
        <f t="shared" si="4"/>
        <v>0</v>
      </c>
    </row>
    <row r="34" spans="2:9" x14ac:dyDescent="0.2">
      <c r="B34" s="385" t="s">
        <v>864</v>
      </c>
      <c r="C34" s="386">
        <f>$E$11*D9*365</f>
        <v>0</v>
      </c>
      <c r="D34" s="405">
        <v>0.5</v>
      </c>
      <c r="E34" s="387">
        <f t="shared" si="3"/>
        <v>0</v>
      </c>
      <c r="F34" s="388"/>
      <c r="G34" s="356">
        <f t="shared" si="5"/>
        <v>0</v>
      </c>
      <c r="H34" s="347">
        <f t="shared" si="5"/>
        <v>0.5</v>
      </c>
      <c r="I34" s="348">
        <f t="shared" si="4"/>
        <v>0</v>
      </c>
    </row>
    <row r="35" spans="2:9" x14ac:dyDescent="0.2">
      <c r="B35" s="385" t="s">
        <v>865</v>
      </c>
      <c r="C35" s="387">
        <f>$E$11*(1130.4*D8+31031)*1.9</f>
        <v>0</v>
      </c>
      <c r="D35" s="405">
        <v>0.21</v>
      </c>
      <c r="E35" s="387">
        <f t="shared" si="3"/>
        <v>0</v>
      </c>
      <c r="F35" s="388"/>
      <c r="G35" s="356">
        <f t="shared" si="5"/>
        <v>0</v>
      </c>
      <c r="H35" s="347">
        <f t="shared" si="5"/>
        <v>0.21</v>
      </c>
      <c r="I35" s="348">
        <f t="shared" si="4"/>
        <v>0</v>
      </c>
    </row>
    <row r="36" spans="2:9" x14ac:dyDescent="0.2">
      <c r="B36" s="385" t="s">
        <v>866</v>
      </c>
      <c r="C36" s="387">
        <f>$E$11*(3769*D8+45976)*VLOOKUP(D2,Preis,11)</f>
        <v>0</v>
      </c>
      <c r="D36" s="405">
        <v>0.06</v>
      </c>
      <c r="E36" s="387">
        <f t="shared" si="3"/>
        <v>0</v>
      </c>
      <c r="F36" s="388"/>
      <c r="G36" s="356">
        <f t="shared" si="5"/>
        <v>0</v>
      </c>
      <c r="H36" s="347">
        <f t="shared" si="5"/>
        <v>0.06</v>
      </c>
      <c r="I36" s="348">
        <f t="shared" si="4"/>
        <v>0</v>
      </c>
    </row>
    <row r="37" spans="2:9" x14ac:dyDescent="0.2">
      <c r="B37" s="385" t="s">
        <v>371</v>
      </c>
      <c r="C37" s="387">
        <f>$E$11*876*D8*1.4</f>
        <v>0</v>
      </c>
      <c r="D37" s="405">
        <v>1</v>
      </c>
      <c r="E37" s="387">
        <f>C37*D37</f>
        <v>0</v>
      </c>
      <c r="F37" s="388"/>
      <c r="G37" s="356">
        <f>C37</f>
        <v>0</v>
      </c>
      <c r="H37" s="347">
        <f t="shared" si="5"/>
        <v>1</v>
      </c>
      <c r="I37" s="348">
        <f t="shared" si="4"/>
        <v>0</v>
      </c>
    </row>
    <row r="38" spans="2:9" x14ac:dyDescent="0.2">
      <c r="B38" s="385" t="s">
        <v>867</v>
      </c>
      <c r="C38" s="387">
        <f>C28*0.003</f>
        <v>0</v>
      </c>
      <c r="D38" s="406">
        <v>1</v>
      </c>
      <c r="E38" s="387">
        <f t="shared" si="3"/>
        <v>0</v>
      </c>
      <c r="F38" s="388"/>
      <c r="G38" s="356">
        <f t="shared" si="5"/>
        <v>0</v>
      </c>
      <c r="H38" s="347">
        <f t="shared" si="5"/>
        <v>1</v>
      </c>
      <c r="I38" s="348">
        <f t="shared" si="4"/>
        <v>0</v>
      </c>
    </row>
    <row r="39" spans="2:9" ht="13.5" thickBot="1" x14ac:dyDescent="0.25">
      <c r="B39" s="389" t="s">
        <v>868</v>
      </c>
      <c r="C39" s="390"/>
      <c r="D39" s="390"/>
      <c r="E39" s="407">
        <f>SUM(E31:E38)</f>
        <v>0</v>
      </c>
      <c r="F39" s="392"/>
      <c r="G39" s="349"/>
      <c r="H39" s="350"/>
      <c r="I39" s="362">
        <f>SUM(I31:I38)</f>
        <v>0</v>
      </c>
    </row>
    <row r="40" spans="2:9" x14ac:dyDescent="0.2">
      <c r="B40" s="101"/>
      <c r="C40" s="374"/>
      <c r="D40" s="374"/>
      <c r="E40" s="374"/>
      <c r="F40" s="374"/>
      <c r="G40" s="106"/>
      <c r="H40" s="107"/>
      <c r="I40" s="108"/>
    </row>
    <row r="41" spans="2:9" ht="26.25" thickBot="1" x14ac:dyDescent="0.25">
      <c r="B41" s="408" t="s">
        <v>154</v>
      </c>
      <c r="C41" s="404" t="s">
        <v>860</v>
      </c>
      <c r="D41" s="404" t="s">
        <v>861</v>
      </c>
      <c r="E41" s="384" t="s">
        <v>854</v>
      </c>
      <c r="F41" s="374"/>
      <c r="G41" s="360" t="s">
        <v>860</v>
      </c>
      <c r="H41" s="361" t="s">
        <v>862</v>
      </c>
      <c r="I41" s="346" t="s">
        <v>854</v>
      </c>
    </row>
    <row r="42" spans="2:9" x14ac:dyDescent="0.2">
      <c r="B42" s="409" t="s">
        <v>155</v>
      </c>
      <c r="C42" s="411">
        <f>$E$11*D10</f>
        <v>0</v>
      </c>
      <c r="D42" s="410">
        <f>VLOOKUP(D2,Preis,10)</f>
        <v>2</v>
      </c>
      <c r="E42" s="411">
        <f>C42*D42</f>
        <v>0</v>
      </c>
      <c r="F42" s="412"/>
      <c r="G42" s="784">
        <f t="shared" ref="G42:H44" si="6">C42</f>
        <v>0</v>
      </c>
      <c r="H42" s="363">
        <f t="shared" si="6"/>
        <v>2</v>
      </c>
      <c r="I42" s="364">
        <f>G42*H42</f>
        <v>0</v>
      </c>
    </row>
    <row r="43" spans="2:9" x14ac:dyDescent="0.2">
      <c r="B43" s="385" t="s">
        <v>156</v>
      </c>
      <c r="C43" s="386">
        <f>$E$11*12</f>
        <v>0</v>
      </c>
      <c r="D43" s="386">
        <v>100</v>
      </c>
      <c r="E43" s="387">
        <f>C43*D43</f>
        <v>0</v>
      </c>
      <c r="F43" s="388"/>
      <c r="G43" s="126">
        <f t="shared" si="6"/>
        <v>0</v>
      </c>
      <c r="H43" s="814">
        <f t="shared" si="6"/>
        <v>100</v>
      </c>
      <c r="I43" s="348">
        <f>G43*H43</f>
        <v>0</v>
      </c>
    </row>
    <row r="44" spans="2:9" x14ac:dyDescent="0.2">
      <c r="B44" s="385" t="s">
        <v>869</v>
      </c>
      <c r="C44" s="386">
        <f>$E$11*D8*1.2*1000</f>
        <v>0</v>
      </c>
      <c r="D44" s="386">
        <v>2.1</v>
      </c>
      <c r="E44" s="387">
        <f>C44*D44</f>
        <v>0</v>
      </c>
      <c r="F44" s="388"/>
      <c r="G44" s="126">
        <f t="shared" si="6"/>
        <v>0</v>
      </c>
      <c r="H44" s="125">
        <f t="shared" si="6"/>
        <v>2.1</v>
      </c>
      <c r="I44" s="348">
        <f>G44*H44</f>
        <v>0</v>
      </c>
    </row>
    <row r="45" spans="2:9" x14ac:dyDescent="0.2">
      <c r="B45" s="385" t="s">
        <v>160</v>
      </c>
      <c r="C45" s="386"/>
      <c r="D45" s="386"/>
      <c r="E45" s="387">
        <f>$E$11*D8*62</f>
        <v>0</v>
      </c>
      <c r="F45" s="388"/>
      <c r="G45" s="126">
        <f>D8</f>
        <v>0</v>
      </c>
      <c r="H45" s="347">
        <v>62</v>
      </c>
      <c r="I45" s="348">
        <f>$E$11*G45*H45</f>
        <v>0</v>
      </c>
    </row>
    <row r="46" spans="2:9" ht="13.5" thickBot="1" x14ac:dyDescent="0.25">
      <c r="B46" s="413" t="s">
        <v>870</v>
      </c>
      <c r="C46" s="414"/>
      <c r="D46" s="414"/>
      <c r="E46" s="415">
        <f>SUM(E42:E45)</f>
        <v>0</v>
      </c>
      <c r="F46" s="416"/>
      <c r="G46" s="358"/>
      <c r="H46" s="359"/>
      <c r="I46" s="365">
        <f>SUM(I42:I45)</f>
        <v>0</v>
      </c>
    </row>
    <row r="47" spans="2:9" x14ac:dyDescent="0.2">
      <c r="B47" s="402"/>
      <c r="C47" s="372"/>
      <c r="D47" s="372"/>
      <c r="E47" s="372"/>
      <c r="F47" s="417"/>
      <c r="G47" s="103"/>
      <c r="H47" s="104"/>
      <c r="I47" s="105"/>
    </row>
    <row r="48" spans="2:9" ht="16.5" thickBot="1" x14ac:dyDescent="0.3">
      <c r="B48" s="418" t="s">
        <v>871</v>
      </c>
      <c r="C48" s="378" t="s">
        <v>872</v>
      </c>
      <c r="D48" s="374"/>
      <c r="E48" s="374"/>
      <c r="F48" s="419"/>
      <c r="G48" s="366" t="s">
        <v>872</v>
      </c>
      <c r="H48" s="107"/>
      <c r="I48" s="108"/>
    </row>
    <row r="49" spans="2:9" x14ac:dyDescent="0.2">
      <c r="B49" s="420" t="s">
        <v>873</v>
      </c>
      <c r="C49" s="401">
        <f>E28</f>
        <v>0</v>
      </c>
      <c r="D49" s="388"/>
      <c r="E49" s="388"/>
      <c r="F49" s="388"/>
      <c r="G49" s="752">
        <f>I28</f>
        <v>0</v>
      </c>
      <c r="H49" s="436"/>
      <c r="I49" s="437"/>
    </row>
    <row r="50" spans="2:9" x14ac:dyDescent="0.2">
      <c r="B50" s="421" t="s">
        <v>363</v>
      </c>
      <c r="C50" s="422">
        <f>E39</f>
        <v>0</v>
      </c>
      <c r="D50" s="388"/>
      <c r="E50" s="388"/>
      <c r="F50" s="388"/>
      <c r="G50" s="753">
        <f>I39</f>
        <v>0</v>
      </c>
      <c r="H50" s="113"/>
      <c r="I50" s="367"/>
    </row>
    <row r="51" spans="2:9" ht="25.5" x14ac:dyDescent="0.2">
      <c r="B51" s="423" t="s">
        <v>874</v>
      </c>
      <c r="C51" s="424">
        <f>E46</f>
        <v>0</v>
      </c>
      <c r="D51" s="399" t="s">
        <v>875</v>
      </c>
      <c r="E51" s="425" t="s">
        <v>876</v>
      </c>
      <c r="F51" s="388"/>
      <c r="G51" s="783">
        <f>I46</f>
        <v>0</v>
      </c>
      <c r="H51" s="368" t="s">
        <v>875</v>
      </c>
      <c r="I51" s="369" t="s">
        <v>876</v>
      </c>
    </row>
    <row r="52" spans="2:9" ht="13.5" thickBot="1" x14ac:dyDescent="0.25">
      <c r="B52" s="426" t="s">
        <v>877</v>
      </c>
      <c r="C52" s="427">
        <f>D52*E52</f>
        <v>0</v>
      </c>
      <c r="D52" s="428">
        <f>E20</f>
        <v>0</v>
      </c>
      <c r="E52" s="429">
        <v>15</v>
      </c>
      <c r="F52" s="392"/>
      <c r="G52" s="438">
        <f>H52*I52</f>
        <v>0</v>
      </c>
      <c r="H52" s="434">
        <f>I20</f>
        <v>0</v>
      </c>
      <c r="I52" s="370">
        <v>15</v>
      </c>
    </row>
    <row r="53" spans="2:9" x14ac:dyDescent="0.2">
      <c r="B53" s="441" t="s">
        <v>878</v>
      </c>
      <c r="C53" s="443">
        <f>SUM(C49:C52)</f>
        <v>0</v>
      </c>
      <c r="D53" s="13"/>
      <c r="E53" s="13"/>
      <c r="F53" s="13"/>
      <c r="G53" s="435">
        <f>SUM(G49:G52)</f>
        <v>0</v>
      </c>
      <c r="H53" s="33"/>
      <c r="I53" s="33"/>
    </row>
    <row r="54" spans="2:9" ht="13.5" thickBot="1" x14ac:dyDescent="0.25">
      <c r="B54" s="442" t="s">
        <v>879</v>
      </c>
      <c r="C54" s="754" t="str">
        <f>IF(ISERROR(C53/D8/1000),"",(C53/D8/1000))</f>
        <v/>
      </c>
      <c r="D54" s="13"/>
      <c r="E54" s="13"/>
      <c r="F54" s="13"/>
      <c r="G54" s="755" t="str">
        <f>IF(ISERROR(G53/D8/1000),"",G53/D8/1000)</f>
        <v/>
      </c>
      <c r="H54" s="33"/>
      <c r="I54" s="33"/>
    </row>
    <row r="55" spans="2:9" x14ac:dyDescent="0.2">
      <c r="B55" s="5"/>
      <c r="C55" s="5"/>
      <c r="D55" s="5"/>
      <c r="E55" s="5"/>
      <c r="F55" s="5"/>
      <c r="H55" s="33"/>
      <c r="I55" s="33"/>
    </row>
    <row r="56" spans="2:9" x14ac:dyDescent="0.2">
      <c r="B56" s="5"/>
      <c r="C56" s="834" t="s">
        <v>1034</v>
      </c>
      <c r="D56" s="834"/>
      <c r="E56" s="833">
        <f>VLOOKUP(D2,Preis,14)</f>
        <v>24</v>
      </c>
      <c r="F56" s="5"/>
    </row>
    <row r="57" spans="2:9" x14ac:dyDescent="0.2">
      <c r="B57" s="430" t="s">
        <v>880</v>
      </c>
      <c r="C57" s="431"/>
      <c r="D57" s="13"/>
      <c r="E57" s="13"/>
      <c r="F57" s="13"/>
    </row>
    <row r="58" spans="2:9" x14ac:dyDescent="0.2">
      <c r="B58" s="432" t="s">
        <v>898</v>
      </c>
      <c r="C58" s="13"/>
      <c r="D58" s="13"/>
      <c r="E58" s="13"/>
      <c r="F58" s="13"/>
    </row>
    <row r="59" spans="2:9" x14ac:dyDescent="0.2">
      <c r="B59" s="433" t="s">
        <v>881</v>
      </c>
      <c r="C59" s="13"/>
      <c r="D59" s="13"/>
      <c r="E59" s="13"/>
      <c r="F59" s="13"/>
    </row>
    <row r="60" spans="2:9" x14ac:dyDescent="0.2">
      <c r="B60" s="433" t="s">
        <v>882</v>
      </c>
      <c r="C60" s="13"/>
      <c r="D60" s="13"/>
      <c r="E60" s="13"/>
      <c r="F60" s="13"/>
    </row>
    <row r="61" spans="2:9" x14ac:dyDescent="0.2">
      <c r="B61" s="433" t="s">
        <v>883</v>
      </c>
      <c r="C61" s="13"/>
      <c r="D61" s="13"/>
      <c r="E61" s="13"/>
      <c r="F61" s="13"/>
    </row>
    <row r="62" spans="2:9" x14ac:dyDescent="0.2">
      <c r="B62" s="433" t="s">
        <v>884</v>
      </c>
      <c r="C62" s="13"/>
      <c r="D62" s="13"/>
      <c r="E62" s="13"/>
      <c r="F62" s="13"/>
    </row>
    <row r="63" spans="2:9" x14ac:dyDescent="0.2">
      <c r="B63" s="433" t="s">
        <v>885</v>
      </c>
      <c r="C63" s="13"/>
      <c r="D63" s="13"/>
      <c r="E63" s="13"/>
      <c r="F63" s="13"/>
    </row>
    <row r="64" spans="2:9" x14ac:dyDescent="0.2">
      <c r="B64" s="433" t="s">
        <v>886</v>
      </c>
      <c r="C64" s="13"/>
      <c r="D64" s="13"/>
      <c r="E64" s="13"/>
      <c r="F64" s="13"/>
    </row>
    <row r="65" spans="2:6" hidden="1" x14ac:dyDescent="0.2">
      <c r="B65" s="13"/>
      <c r="C65" s="13"/>
      <c r="D65" s="13"/>
      <c r="E65" s="13"/>
      <c r="F65" s="13"/>
    </row>
    <row r="66" spans="2:6" hidden="1" x14ac:dyDescent="0.2">
      <c r="B66" s="13"/>
      <c r="C66" s="13"/>
      <c r="D66" s="13"/>
      <c r="E66" s="13"/>
      <c r="F66" s="13"/>
    </row>
    <row r="67" spans="2:6" hidden="1" x14ac:dyDescent="0.2">
      <c r="B67" s="13"/>
      <c r="C67" s="13"/>
      <c r="D67" s="13"/>
      <c r="E67" s="13"/>
      <c r="F67" s="13"/>
    </row>
    <row r="68" spans="2:6" hidden="1" x14ac:dyDescent="0.2">
      <c r="B68" s="13"/>
      <c r="C68" s="13"/>
      <c r="D68" s="13"/>
      <c r="E68" s="13"/>
      <c r="F68" s="13"/>
    </row>
    <row r="69" spans="2:6" hidden="1" x14ac:dyDescent="0.2">
      <c r="B69" s="13"/>
      <c r="C69" s="13"/>
      <c r="D69" s="13"/>
      <c r="E69" s="13"/>
      <c r="F69" s="13"/>
    </row>
    <row r="70" spans="2:6" hidden="1" x14ac:dyDescent="0.2">
      <c r="B70" s="13"/>
      <c r="C70" s="13"/>
      <c r="D70" s="13"/>
      <c r="E70" s="13"/>
      <c r="F70" s="13"/>
    </row>
    <row r="71" spans="2:6" hidden="1" x14ac:dyDescent="0.2">
      <c r="B71" s="13"/>
      <c r="C71" s="13"/>
      <c r="D71" s="13"/>
      <c r="E71" s="13"/>
      <c r="F71" s="13"/>
    </row>
    <row r="72" spans="2:6" hidden="1" x14ac:dyDescent="0.2">
      <c r="B72" s="13"/>
      <c r="C72" s="13"/>
      <c r="D72" s="13"/>
      <c r="E72" s="13"/>
      <c r="F72" s="13"/>
    </row>
    <row r="73" spans="2:6" hidden="1" x14ac:dyDescent="0.2">
      <c r="B73" s="13"/>
      <c r="C73" s="13"/>
      <c r="D73" s="13"/>
      <c r="E73" s="13"/>
      <c r="F73" s="13"/>
    </row>
    <row r="74" spans="2:6" hidden="1" x14ac:dyDescent="0.2">
      <c r="B74" s="13"/>
      <c r="C74" s="13"/>
      <c r="D74" s="13"/>
      <c r="E74" s="13"/>
      <c r="F74" s="13"/>
    </row>
    <row r="75" spans="2:6" hidden="1" x14ac:dyDescent="0.2">
      <c r="B75" s="13"/>
      <c r="C75" s="13"/>
      <c r="D75" s="13"/>
      <c r="E75" s="13"/>
      <c r="F75" s="13"/>
    </row>
    <row r="76" spans="2:6" hidden="1" x14ac:dyDescent="0.2">
      <c r="B76" s="13"/>
      <c r="C76" s="13"/>
      <c r="D76" s="13"/>
      <c r="E76" s="13"/>
      <c r="F76" s="13"/>
    </row>
    <row r="77" spans="2:6" hidden="1" x14ac:dyDescent="0.2">
      <c r="B77" s="13"/>
      <c r="C77" s="13"/>
      <c r="D77" s="13"/>
      <c r="E77" s="13"/>
      <c r="F77" s="13"/>
    </row>
    <row r="78" spans="2:6" hidden="1" x14ac:dyDescent="0.2">
      <c r="B78" s="13"/>
      <c r="C78" s="13"/>
      <c r="D78" s="13"/>
      <c r="E78" s="13"/>
      <c r="F78" s="13"/>
    </row>
    <row r="79" spans="2:6" hidden="1" x14ac:dyDescent="0.2">
      <c r="B79" s="13"/>
      <c r="C79" s="13"/>
      <c r="D79" s="13"/>
      <c r="E79" s="13"/>
      <c r="F79" s="13"/>
    </row>
    <row r="80" spans="2:6" hidden="1" x14ac:dyDescent="0.2">
      <c r="B80" s="13"/>
      <c r="C80" s="13"/>
      <c r="D80" s="13"/>
      <c r="E80" s="13"/>
      <c r="F80" s="13"/>
    </row>
    <row r="81" spans="2:6" hidden="1" x14ac:dyDescent="0.2">
      <c r="B81" s="13"/>
      <c r="C81" s="13"/>
      <c r="D81" s="13"/>
      <c r="E81" s="13"/>
      <c r="F81" s="13"/>
    </row>
    <row r="82" spans="2:6" hidden="1" x14ac:dyDescent="0.2">
      <c r="B82" s="13"/>
      <c r="C82" s="13"/>
      <c r="D82" s="13"/>
      <c r="E82" s="13"/>
      <c r="F82" s="13"/>
    </row>
    <row r="83" spans="2:6" hidden="1" x14ac:dyDescent="0.2">
      <c r="B83" s="13"/>
      <c r="C83" s="13"/>
      <c r="D83" s="13"/>
      <c r="E83" s="13"/>
      <c r="F83" s="13"/>
    </row>
    <row r="84" spans="2:6" hidden="1" x14ac:dyDescent="0.2">
      <c r="B84" s="13"/>
      <c r="C84" s="13"/>
      <c r="D84" s="13"/>
      <c r="E84" s="13"/>
      <c r="F84" s="13"/>
    </row>
    <row r="85" spans="2:6" hidden="1" x14ac:dyDescent="0.2">
      <c r="B85" s="13"/>
      <c r="C85" s="13"/>
      <c r="D85" s="13"/>
      <c r="E85" s="13"/>
      <c r="F85" s="13"/>
    </row>
    <row r="86" spans="2:6" hidden="1" x14ac:dyDescent="0.2">
      <c r="B86" s="13"/>
      <c r="C86" s="13"/>
      <c r="D86" s="13"/>
      <c r="E86" s="13"/>
      <c r="F86" s="13"/>
    </row>
    <row r="87" spans="2:6" hidden="1" x14ac:dyDescent="0.2">
      <c r="B87" s="13"/>
      <c r="C87" s="13"/>
      <c r="D87" s="13"/>
      <c r="E87" s="13"/>
      <c r="F87" s="13"/>
    </row>
    <row r="88" spans="2:6" hidden="1" x14ac:dyDescent="0.2">
      <c r="B88" s="13"/>
      <c r="C88" s="13"/>
      <c r="D88" s="13"/>
      <c r="E88" s="13"/>
      <c r="F88" s="13"/>
    </row>
    <row r="89" spans="2:6" hidden="1" x14ac:dyDescent="0.2">
      <c r="B89" s="13"/>
      <c r="C89" s="13"/>
      <c r="D89" s="13"/>
      <c r="E89" s="13"/>
      <c r="F89" s="13"/>
    </row>
    <row r="90" spans="2:6" hidden="1" x14ac:dyDescent="0.2">
      <c r="B90" s="13"/>
      <c r="C90" s="13"/>
      <c r="D90" s="13"/>
      <c r="E90" s="13"/>
      <c r="F90" s="13"/>
    </row>
    <row r="91" spans="2:6" hidden="1" x14ac:dyDescent="0.2">
      <c r="B91" s="13"/>
      <c r="C91" s="13"/>
      <c r="D91" s="13"/>
      <c r="E91" s="13"/>
      <c r="F91" s="13"/>
    </row>
    <row r="92" spans="2:6" hidden="1" x14ac:dyDescent="0.2">
      <c r="B92" s="13"/>
      <c r="C92" s="13"/>
      <c r="D92" s="13"/>
      <c r="E92" s="13"/>
      <c r="F92" s="13"/>
    </row>
    <row r="93" spans="2:6" hidden="1" x14ac:dyDescent="0.2">
      <c r="B93" s="13"/>
      <c r="C93" s="13"/>
      <c r="D93" s="13"/>
      <c r="E93" s="13"/>
      <c r="F93" s="13"/>
    </row>
    <row r="94" spans="2:6" hidden="1" x14ac:dyDescent="0.2">
      <c r="B94" s="13"/>
      <c r="C94" s="13"/>
      <c r="D94" s="13"/>
      <c r="E94" s="13"/>
      <c r="F94" s="13"/>
    </row>
    <row r="95" spans="2:6" hidden="1" x14ac:dyDescent="0.2">
      <c r="B95" s="13"/>
      <c r="C95" s="13"/>
      <c r="D95" s="13"/>
      <c r="E95" s="13"/>
      <c r="F95" s="13"/>
    </row>
    <row r="96" spans="2:6" hidden="1" x14ac:dyDescent="0.2">
      <c r="B96" s="13"/>
      <c r="C96" s="13"/>
      <c r="D96" s="13"/>
      <c r="E96" s="13"/>
      <c r="F96" s="13"/>
    </row>
    <row r="97" spans="2:6" hidden="1" x14ac:dyDescent="0.2">
      <c r="B97" s="13"/>
      <c r="C97" s="13"/>
      <c r="D97" s="13"/>
      <c r="E97" s="13"/>
      <c r="F97" s="13"/>
    </row>
    <row r="98" spans="2:6" hidden="1" x14ac:dyDescent="0.2">
      <c r="B98" s="13"/>
      <c r="C98" s="13"/>
      <c r="D98" s="13"/>
      <c r="E98" s="13"/>
      <c r="F98" s="13"/>
    </row>
    <row r="99" spans="2:6" hidden="1" x14ac:dyDescent="0.2">
      <c r="B99" s="13"/>
      <c r="C99" s="13"/>
      <c r="D99" s="13"/>
      <c r="E99" s="13"/>
      <c r="F99" s="13"/>
    </row>
    <row r="100" spans="2:6" hidden="1" x14ac:dyDescent="0.2">
      <c r="B100" s="13"/>
      <c r="C100" s="13"/>
      <c r="D100" s="13"/>
      <c r="E100" s="13"/>
      <c r="F100" s="13"/>
    </row>
    <row r="101" spans="2:6" hidden="1" x14ac:dyDescent="0.2">
      <c r="B101" s="13"/>
      <c r="C101" s="13"/>
      <c r="D101" s="13"/>
      <c r="E101" s="13"/>
      <c r="F101" s="13"/>
    </row>
    <row r="102" spans="2:6" hidden="1" x14ac:dyDescent="0.2">
      <c r="B102" s="13"/>
      <c r="C102" s="13"/>
      <c r="D102" s="13"/>
      <c r="E102" s="13"/>
      <c r="F102" s="13"/>
    </row>
    <row r="103" spans="2:6" hidden="1" x14ac:dyDescent="0.2">
      <c r="B103" s="13"/>
      <c r="C103" s="13"/>
      <c r="D103" s="13"/>
      <c r="E103" s="13"/>
      <c r="F103" s="13"/>
    </row>
    <row r="104" spans="2:6" hidden="1" x14ac:dyDescent="0.2">
      <c r="B104" s="13"/>
      <c r="C104" s="13"/>
      <c r="D104" s="13"/>
      <c r="E104" s="13"/>
      <c r="F104" s="13"/>
    </row>
    <row r="105" spans="2:6" hidden="1" x14ac:dyDescent="0.2">
      <c r="B105" s="13"/>
      <c r="C105" s="13"/>
      <c r="D105" s="13"/>
      <c r="E105" s="13"/>
      <c r="F105" s="13"/>
    </row>
    <row r="106" spans="2:6" hidden="1" x14ac:dyDescent="0.2">
      <c r="B106" s="13"/>
      <c r="C106" s="13"/>
      <c r="D106" s="13"/>
      <c r="E106" s="13"/>
      <c r="F106" s="13"/>
    </row>
    <row r="107" spans="2:6" hidden="1" x14ac:dyDescent="0.2">
      <c r="B107" s="13"/>
      <c r="C107" s="13"/>
      <c r="D107" s="13"/>
      <c r="E107" s="13"/>
      <c r="F107" s="13"/>
    </row>
    <row r="108" spans="2:6" hidden="1" x14ac:dyDescent="0.2">
      <c r="B108" s="13"/>
      <c r="C108" s="13"/>
      <c r="D108" s="13"/>
      <c r="E108" s="13"/>
      <c r="F108" s="13"/>
    </row>
    <row r="109" spans="2:6" hidden="1" x14ac:dyDescent="0.2">
      <c r="B109" s="13"/>
      <c r="C109" s="13"/>
      <c r="D109" s="13"/>
      <c r="E109" s="13"/>
      <c r="F109" s="13"/>
    </row>
    <row r="110" spans="2:6" hidden="1" x14ac:dyDescent="0.2">
      <c r="B110" s="13"/>
      <c r="C110" s="13"/>
      <c r="D110" s="13"/>
      <c r="E110" s="13"/>
      <c r="F110" s="13"/>
    </row>
    <row r="111" spans="2:6" hidden="1" x14ac:dyDescent="0.2">
      <c r="B111" s="13"/>
      <c r="C111" s="13"/>
      <c r="D111" s="13"/>
      <c r="E111" s="13"/>
      <c r="F111" s="13"/>
    </row>
    <row r="112" spans="2:6" hidden="1" x14ac:dyDescent="0.2">
      <c r="B112" s="13"/>
      <c r="C112" s="13"/>
      <c r="D112" s="13"/>
      <c r="E112" s="13"/>
      <c r="F112" s="13"/>
    </row>
    <row r="113" spans="2:6" hidden="1" x14ac:dyDescent="0.2">
      <c r="B113" s="13"/>
      <c r="C113" s="13"/>
      <c r="D113" s="13"/>
      <c r="E113" s="13"/>
      <c r="F113" s="13"/>
    </row>
    <row r="114" spans="2:6" hidden="1" x14ac:dyDescent="0.2">
      <c r="B114" s="13"/>
      <c r="C114" s="13"/>
      <c r="D114" s="13"/>
      <c r="E114" s="13"/>
      <c r="F114" s="13"/>
    </row>
    <row r="115" spans="2:6" hidden="1" x14ac:dyDescent="0.2">
      <c r="B115" s="13"/>
      <c r="C115" s="13"/>
      <c r="D115" s="13"/>
      <c r="E115" s="13"/>
      <c r="F115" s="13"/>
    </row>
    <row r="116" spans="2:6" hidden="1" x14ac:dyDescent="0.2">
      <c r="B116" s="13"/>
      <c r="C116" s="13"/>
      <c r="D116" s="13"/>
      <c r="E116" s="13"/>
      <c r="F116" s="13"/>
    </row>
    <row r="117" spans="2:6" hidden="1" x14ac:dyDescent="0.2">
      <c r="B117" s="13"/>
      <c r="C117" s="13"/>
      <c r="D117" s="13"/>
      <c r="E117" s="13"/>
      <c r="F117" s="13"/>
    </row>
    <row r="118" spans="2:6" hidden="1" x14ac:dyDescent="0.2">
      <c r="B118" s="13"/>
      <c r="C118" s="13"/>
      <c r="D118" s="13"/>
      <c r="E118" s="13"/>
      <c r="F118" s="13"/>
    </row>
    <row r="119" spans="2:6" hidden="1" x14ac:dyDescent="0.2">
      <c r="B119" s="13"/>
      <c r="C119" s="13"/>
      <c r="D119" s="13"/>
      <c r="E119" s="13"/>
      <c r="F119" s="13"/>
    </row>
    <row r="120" spans="2:6" hidden="1" x14ac:dyDescent="0.2">
      <c r="B120" s="13"/>
      <c r="C120" s="13"/>
      <c r="D120" s="13"/>
      <c r="E120" s="13"/>
      <c r="F120" s="13"/>
    </row>
    <row r="121" spans="2:6" hidden="1" x14ac:dyDescent="0.2">
      <c r="B121" s="13"/>
      <c r="C121" s="13"/>
      <c r="D121" s="13"/>
      <c r="E121" s="13"/>
      <c r="F121" s="13"/>
    </row>
    <row r="122" spans="2:6" hidden="1" x14ac:dyDescent="0.2">
      <c r="B122" s="13"/>
      <c r="C122" s="13"/>
      <c r="D122" s="13"/>
      <c r="E122" s="13"/>
      <c r="F122" s="13"/>
    </row>
    <row r="123" spans="2:6" hidden="1" x14ac:dyDescent="0.2">
      <c r="B123" s="13"/>
      <c r="C123" s="13"/>
      <c r="D123" s="13"/>
      <c r="E123" s="13"/>
      <c r="F123" s="13"/>
    </row>
    <row r="124" spans="2:6" hidden="1" x14ac:dyDescent="0.2">
      <c r="B124" s="13"/>
      <c r="C124" s="13"/>
      <c r="D124" s="13"/>
      <c r="E124" s="13"/>
      <c r="F124" s="13"/>
    </row>
    <row r="125" spans="2:6" hidden="1" x14ac:dyDescent="0.2">
      <c r="B125" s="13"/>
      <c r="C125" s="13"/>
      <c r="D125" s="13"/>
      <c r="E125" s="13"/>
      <c r="F125" s="13"/>
    </row>
    <row r="126" spans="2:6" hidden="1" x14ac:dyDescent="0.2">
      <c r="B126" s="13"/>
      <c r="C126" s="13"/>
      <c r="D126" s="13"/>
      <c r="E126" s="13"/>
      <c r="F126" s="13"/>
    </row>
    <row r="127" spans="2:6" hidden="1" x14ac:dyDescent="0.2">
      <c r="B127" s="13"/>
      <c r="C127" s="13"/>
      <c r="D127" s="13"/>
      <c r="E127" s="13"/>
      <c r="F127" s="13"/>
    </row>
    <row r="128" spans="2:6" hidden="1" x14ac:dyDescent="0.2">
      <c r="B128" s="13"/>
      <c r="C128" s="13"/>
      <c r="D128" s="13"/>
      <c r="E128" s="13"/>
      <c r="F128" s="13"/>
    </row>
    <row r="129" spans="2:6" hidden="1" x14ac:dyDescent="0.2">
      <c r="B129" s="13"/>
      <c r="C129" s="13"/>
      <c r="D129" s="13"/>
      <c r="E129" s="13"/>
      <c r="F129" s="13"/>
    </row>
    <row r="130" spans="2:6" hidden="1" x14ac:dyDescent="0.2">
      <c r="B130" s="13"/>
      <c r="C130" s="13"/>
      <c r="D130" s="13"/>
      <c r="E130" s="13"/>
      <c r="F130" s="13"/>
    </row>
    <row r="131" spans="2:6" hidden="1" x14ac:dyDescent="0.2">
      <c r="B131" s="13"/>
      <c r="C131" s="13"/>
      <c r="D131" s="13"/>
      <c r="E131" s="13"/>
      <c r="F131" s="13"/>
    </row>
    <row r="132" spans="2:6" hidden="1" x14ac:dyDescent="0.2">
      <c r="B132" s="13"/>
      <c r="C132" s="13"/>
      <c r="D132" s="13"/>
      <c r="E132" s="13"/>
      <c r="F132" s="13"/>
    </row>
    <row r="133" spans="2:6" hidden="1" x14ac:dyDescent="0.2">
      <c r="B133" s="13"/>
      <c r="C133" s="13"/>
      <c r="D133" s="13"/>
      <c r="E133" s="13"/>
      <c r="F133" s="13"/>
    </row>
    <row r="134" spans="2:6" hidden="1" x14ac:dyDescent="0.2">
      <c r="B134" s="13"/>
      <c r="C134" s="13"/>
      <c r="D134" s="13"/>
      <c r="E134" s="13"/>
      <c r="F134" s="13"/>
    </row>
    <row r="135" spans="2:6" hidden="1" x14ac:dyDescent="0.2">
      <c r="B135" s="13"/>
      <c r="C135" s="13"/>
      <c r="D135" s="13"/>
      <c r="E135" s="13"/>
      <c r="F135" s="13"/>
    </row>
    <row r="136" spans="2:6" hidden="1" x14ac:dyDescent="0.2">
      <c r="B136" s="13"/>
      <c r="C136" s="13"/>
      <c r="D136" s="13"/>
      <c r="E136" s="13"/>
      <c r="F136" s="13"/>
    </row>
    <row r="137" spans="2:6" hidden="1" x14ac:dyDescent="0.2">
      <c r="B137" s="13"/>
      <c r="C137" s="13"/>
      <c r="D137" s="13"/>
      <c r="E137" s="13"/>
      <c r="F137" s="13"/>
    </row>
    <row r="138" spans="2:6" hidden="1" x14ac:dyDescent="0.2">
      <c r="B138" s="13"/>
      <c r="C138" s="13"/>
      <c r="D138" s="13"/>
      <c r="E138" s="13"/>
      <c r="F138" s="13"/>
    </row>
    <row r="139" spans="2:6" hidden="1" x14ac:dyDescent="0.2">
      <c r="B139" s="13"/>
      <c r="C139" s="13"/>
      <c r="D139" s="13"/>
      <c r="E139" s="13"/>
      <c r="F139" s="13"/>
    </row>
    <row r="140" spans="2:6" hidden="1" x14ac:dyDescent="0.2">
      <c r="B140" s="13"/>
      <c r="C140" s="13"/>
      <c r="D140" s="13"/>
      <c r="E140" s="13"/>
      <c r="F140" s="13"/>
    </row>
    <row r="141" spans="2:6" hidden="1" x14ac:dyDescent="0.2">
      <c r="B141" s="13"/>
      <c r="C141" s="13"/>
      <c r="D141" s="13"/>
      <c r="E141" s="13"/>
      <c r="F141" s="13"/>
    </row>
    <row r="142" spans="2:6" hidden="1" x14ac:dyDescent="0.2">
      <c r="B142" s="13"/>
      <c r="C142" s="13"/>
      <c r="D142" s="13"/>
      <c r="E142" s="13"/>
      <c r="F142" s="13"/>
    </row>
    <row r="143" spans="2:6" hidden="1" x14ac:dyDescent="0.2">
      <c r="B143" s="13"/>
      <c r="C143" s="13"/>
      <c r="D143" s="13"/>
      <c r="E143" s="13"/>
      <c r="F143" s="13"/>
    </row>
    <row r="144" spans="2:6" hidden="1" x14ac:dyDescent="0.2">
      <c r="B144" s="13"/>
      <c r="C144" s="13"/>
      <c r="D144" s="13"/>
      <c r="E144" s="13"/>
      <c r="F144" s="13"/>
    </row>
    <row r="145" spans="2:6" hidden="1" x14ac:dyDescent="0.2">
      <c r="B145" s="13"/>
      <c r="C145" s="13"/>
      <c r="D145" s="13"/>
      <c r="E145" s="13"/>
      <c r="F145" s="13"/>
    </row>
    <row r="146" spans="2:6" hidden="1" x14ac:dyDescent="0.2">
      <c r="B146" s="13"/>
      <c r="C146" s="13"/>
      <c r="D146" s="13"/>
      <c r="E146" s="13"/>
      <c r="F146" s="13"/>
    </row>
    <row r="147" spans="2:6" hidden="1" x14ac:dyDescent="0.2">
      <c r="B147" s="13"/>
      <c r="C147" s="13"/>
      <c r="D147" s="13"/>
      <c r="E147" s="13"/>
      <c r="F147" s="13"/>
    </row>
    <row r="148" spans="2:6" hidden="1" x14ac:dyDescent="0.2">
      <c r="B148" s="13"/>
      <c r="C148" s="13"/>
      <c r="D148" s="13"/>
      <c r="E148" s="13"/>
      <c r="F148" s="13"/>
    </row>
    <row r="149" spans="2:6" hidden="1" x14ac:dyDescent="0.2">
      <c r="B149" s="13"/>
      <c r="C149" s="13"/>
      <c r="D149" s="13"/>
      <c r="E149" s="13"/>
      <c r="F149" s="13"/>
    </row>
    <row r="150" spans="2:6" hidden="1" x14ac:dyDescent="0.2">
      <c r="B150" s="13"/>
      <c r="C150" s="13"/>
      <c r="D150" s="13"/>
      <c r="E150" s="13"/>
      <c r="F150" s="13"/>
    </row>
    <row r="151" spans="2:6" hidden="1" x14ac:dyDescent="0.2">
      <c r="B151" s="13"/>
      <c r="C151" s="13"/>
      <c r="D151" s="13"/>
      <c r="E151" s="13"/>
      <c r="F151" s="13"/>
    </row>
    <row r="152" spans="2:6" hidden="1" x14ac:dyDescent="0.2">
      <c r="B152" s="13"/>
      <c r="C152" s="13"/>
      <c r="D152" s="13"/>
      <c r="E152" s="13"/>
      <c r="F152" s="13"/>
    </row>
    <row r="153" spans="2:6" hidden="1" x14ac:dyDescent="0.2">
      <c r="B153" s="13"/>
      <c r="C153" s="13"/>
      <c r="D153" s="13"/>
      <c r="E153" s="13"/>
      <c r="F153" s="13"/>
    </row>
    <row r="154" spans="2:6" hidden="1" x14ac:dyDescent="0.2">
      <c r="B154" s="13"/>
      <c r="C154" s="13"/>
      <c r="D154" s="13"/>
      <c r="E154" s="13"/>
      <c r="F154" s="13"/>
    </row>
    <row r="155" spans="2:6" hidden="1" x14ac:dyDescent="0.2">
      <c r="B155" s="13"/>
      <c r="C155" s="13"/>
      <c r="D155" s="13"/>
      <c r="E155" s="13"/>
      <c r="F155" s="13"/>
    </row>
    <row r="156" spans="2:6" hidden="1" x14ac:dyDescent="0.2">
      <c r="B156" s="13"/>
      <c r="C156" s="13"/>
      <c r="D156" s="13"/>
      <c r="E156" s="13"/>
      <c r="F156" s="13"/>
    </row>
    <row r="157" spans="2:6" hidden="1" x14ac:dyDescent="0.2">
      <c r="B157" s="13"/>
      <c r="C157" s="13"/>
      <c r="D157" s="13"/>
      <c r="E157" s="13"/>
      <c r="F157" s="13"/>
    </row>
    <row r="158" spans="2:6" hidden="1" x14ac:dyDescent="0.2">
      <c r="B158" s="13"/>
      <c r="C158" s="13"/>
      <c r="D158" s="13"/>
      <c r="E158" s="13"/>
      <c r="F158" s="13"/>
    </row>
    <row r="159" spans="2:6" hidden="1" x14ac:dyDescent="0.2">
      <c r="B159" s="13"/>
      <c r="C159" s="13"/>
      <c r="D159" s="13"/>
      <c r="E159" s="13"/>
      <c r="F159" s="13"/>
    </row>
    <row r="160" spans="2:6" hidden="1" x14ac:dyDescent="0.2">
      <c r="B160" s="13"/>
      <c r="C160" s="13"/>
      <c r="D160" s="13"/>
      <c r="E160" s="13"/>
      <c r="F160" s="13"/>
    </row>
    <row r="161" spans="2:6" hidden="1" x14ac:dyDescent="0.2">
      <c r="B161" s="13"/>
      <c r="C161" s="13"/>
      <c r="D161" s="13"/>
      <c r="E161" s="13"/>
      <c r="F161" s="13"/>
    </row>
    <row r="162" spans="2:6" hidden="1" x14ac:dyDescent="0.2">
      <c r="B162" s="13"/>
      <c r="C162" s="13"/>
      <c r="D162" s="13"/>
      <c r="E162" s="13"/>
      <c r="F162" s="13"/>
    </row>
    <row r="163" spans="2:6" hidden="1" x14ac:dyDescent="0.2">
      <c r="B163" s="13"/>
      <c r="C163" s="13"/>
      <c r="D163" s="13"/>
      <c r="E163" s="13"/>
      <c r="F163" s="13"/>
    </row>
    <row r="164" spans="2:6" hidden="1" x14ac:dyDescent="0.2">
      <c r="B164" s="13"/>
      <c r="C164" s="13"/>
      <c r="D164" s="13"/>
      <c r="E164" s="13"/>
      <c r="F164" s="13"/>
    </row>
    <row r="165" spans="2:6" hidden="1" x14ac:dyDescent="0.2">
      <c r="B165" s="13"/>
      <c r="C165" s="13"/>
      <c r="D165" s="13"/>
      <c r="E165" s="13"/>
      <c r="F165" s="13"/>
    </row>
    <row r="166" spans="2:6" hidden="1" x14ac:dyDescent="0.2">
      <c r="B166" s="13"/>
      <c r="C166" s="13"/>
      <c r="D166" s="13"/>
      <c r="E166" s="13"/>
      <c r="F166" s="13"/>
    </row>
    <row r="167" spans="2:6" hidden="1" x14ac:dyDescent="0.2">
      <c r="B167" s="13"/>
      <c r="C167" s="13"/>
      <c r="D167" s="13"/>
      <c r="E167" s="13"/>
      <c r="F167" s="13"/>
    </row>
    <row r="168" spans="2:6" hidden="1" x14ac:dyDescent="0.2">
      <c r="B168" s="13"/>
      <c r="C168" s="13"/>
      <c r="D168" s="13"/>
      <c r="E168" s="13"/>
      <c r="F168" s="13"/>
    </row>
    <row r="169" spans="2:6" hidden="1" x14ac:dyDescent="0.2">
      <c r="B169" s="13"/>
      <c r="C169" s="13"/>
      <c r="D169" s="13"/>
      <c r="E169" s="13"/>
      <c r="F169" s="13"/>
    </row>
    <row r="170" spans="2:6" hidden="1" x14ac:dyDescent="0.2">
      <c r="B170" s="13"/>
      <c r="C170" s="13"/>
      <c r="D170" s="13"/>
      <c r="E170" s="13"/>
      <c r="F170" s="13"/>
    </row>
    <row r="171" spans="2:6" hidden="1" x14ac:dyDescent="0.2">
      <c r="B171" s="13"/>
      <c r="C171" s="13"/>
      <c r="D171" s="13"/>
      <c r="E171" s="13"/>
      <c r="F171" s="13"/>
    </row>
    <row r="172" spans="2:6" hidden="1" x14ac:dyDescent="0.2">
      <c r="B172" s="13"/>
      <c r="C172" s="13"/>
      <c r="D172" s="13"/>
      <c r="E172" s="13"/>
      <c r="F172" s="13"/>
    </row>
    <row r="173" spans="2:6" hidden="1" x14ac:dyDescent="0.2">
      <c r="B173" s="13"/>
      <c r="C173" s="13"/>
      <c r="D173" s="13"/>
      <c r="E173" s="13"/>
      <c r="F173" s="13"/>
    </row>
    <row r="174" spans="2:6" hidden="1" x14ac:dyDescent="0.2">
      <c r="B174" s="13"/>
      <c r="C174" s="13"/>
      <c r="D174" s="13"/>
      <c r="E174" s="13"/>
      <c r="F174" s="13"/>
    </row>
    <row r="175" spans="2:6" hidden="1" x14ac:dyDescent="0.2">
      <c r="B175" s="13"/>
      <c r="C175" s="13"/>
      <c r="D175" s="13"/>
      <c r="E175" s="13"/>
      <c r="F175" s="13"/>
    </row>
    <row r="176" spans="2:6" hidden="1" x14ac:dyDescent="0.2">
      <c r="B176" s="13"/>
      <c r="C176" s="13"/>
      <c r="D176" s="13"/>
      <c r="E176" s="13"/>
      <c r="F176" s="13"/>
    </row>
    <row r="177" spans="2:6" hidden="1" x14ac:dyDescent="0.2">
      <c r="B177" s="13"/>
      <c r="C177" s="13"/>
      <c r="D177" s="13"/>
      <c r="E177" s="13"/>
      <c r="F177" s="13"/>
    </row>
    <row r="178" spans="2:6" hidden="1" x14ac:dyDescent="0.2">
      <c r="B178" s="13"/>
      <c r="C178" s="13"/>
      <c r="D178" s="13"/>
      <c r="E178" s="13"/>
      <c r="F178" s="13"/>
    </row>
    <row r="179" spans="2:6" hidden="1" x14ac:dyDescent="0.2">
      <c r="B179" s="13"/>
      <c r="C179" s="13"/>
      <c r="D179" s="13"/>
      <c r="E179" s="13"/>
      <c r="F179" s="13"/>
    </row>
    <row r="180" spans="2:6" hidden="1" x14ac:dyDescent="0.2">
      <c r="B180" s="13"/>
      <c r="C180" s="13"/>
      <c r="D180" s="13"/>
      <c r="E180" s="13"/>
      <c r="F180" s="13"/>
    </row>
    <row r="181" spans="2:6" hidden="1" x14ac:dyDescent="0.2">
      <c r="B181" s="13"/>
      <c r="C181" s="13"/>
      <c r="D181" s="13"/>
      <c r="E181" s="13"/>
      <c r="F181" s="13"/>
    </row>
    <row r="182" spans="2:6" hidden="1" x14ac:dyDescent="0.2">
      <c r="B182" s="13"/>
      <c r="C182" s="13"/>
      <c r="D182" s="13"/>
      <c r="E182" s="13"/>
      <c r="F182" s="13"/>
    </row>
    <row r="183" spans="2:6" hidden="1" x14ac:dyDescent="0.2">
      <c r="B183" s="13"/>
      <c r="C183" s="13"/>
      <c r="D183" s="13"/>
      <c r="E183" s="13"/>
      <c r="F183" s="13"/>
    </row>
    <row r="184" spans="2:6" hidden="1" x14ac:dyDescent="0.2">
      <c r="B184" s="13"/>
      <c r="C184" s="13"/>
      <c r="D184" s="13"/>
      <c r="E184" s="13"/>
      <c r="F184" s="13"/>
    </row>
    <row r="185" spans="2:6" hidden="1" x14ac:dyDescent="0.2">
      <c r="B185" s="13"/>
      <c r="C185" s="13"/>
      <c r="D185" s="13"/>
      <c r="E185" s="13"/>
      <c r="F185" s="13"/>
    </row>
    <row r="186" spans="2:6" hidden="1" x14ac:dyDescent="0.2">
      <c r="B186" s="13"/>
      <c r="C186" s="13"/>
      <c r="D186" s="13"/>
      <c r="E186" s="13"/>
      <c r="F186" s="13"/>
    </row>
    <row r="187" spans="2:6" hidden="1" x14ac:dyDescent="0.2">
      <c r="B187" s="13"/>
      <c r="C187" s="13"/>
      <c r="D187" s="13"/>
      <c r="E187" s="13"/>
      <c r="F187" s="13"/>
    </row>
    <row r="188" spans="2:6" hidden="1" x14ac:dyDescent="0.2">
      <c r="B188" s="13"/>
      <c r="C188" s="13"/>
      <c r="D188" s="13"/>
      <c r="E188" s="13"/>
      <c r="F188" s="13"/>
    </row>
    <row r="189" spans="2:6" hidden="1" x14ac:dyDescent="0.2">
      <c r="B189" s="13"/>
      <c r="C189" s="13"/>
      <c r="D189" s="13"/>
      <c r="E189" s="13"/>
      <c r="F189" s="13"/>
    </row>
    <row r="190" spans="2:6" hidden="1" x14ac:dyDescent="0.2">
      <c r="B190" s="13"/>
      <c r="C190" s="13"/>
      <c r="D190" s="13"/>
      <c r="E190" s="13"/>
      <c r="F190" s="13"/>
    </row>
    <row r="191" spans="2:6" hidden="1" x14ac:dyDescent="0.2">
      <c r="B191" s="13"/>
      <c r="C191" s="13"/>
      <c r="D191" s="13"/>
      <c r="E191" s="13"/>
      <c r="F191" s="13"/>
    </row>
    <row r="192" spans="2:6" hidden="1" x14ac:dyDescent="0.2">
      <c r="B192" s="13"/>
      <c r="C192" s="13"/>
      <c r="D192" s="13"/>
      <c r="E192" s="13"/>
      <c r="F192" s="13"/>
    </row>
    <row r="193" spans="2:6" hidden="1" x14ac:dyDescent="0.2">
      <c r="B193" s="13"/>
      <c r="C193" s="13"/>
      <c r="D193" s="13"/>
      <c r="E193" s="13"/>
      <c r="F193" s="13"/>
    </row>
    <row r="194" spans="2:6" hidden="1" x14ac:dyDescent="0.2">
      <c r="B194" s="13"/>
      <c r="C194" s="13"/>
      <c r="D194" s="13"/>
      <c r="E194" s="13"/>
      <c r="F194" s="13"/>
    </row>
    <row r="195" spans="2:6" hidden="1" x14ac:dyDescent="0.2">
      <c r="B195" s="13"/>
      <c r="C195" s="13"/>
      <c r="D195" s="13"/>
      <c r="E195" s="13"/>
      <c r="F195" s="13"/>
    </row>
    <row r="196" spans="2:6" hidden="1" x14ac:dyDescent="0.2">
      <c r="B196" s="13"/>
      <c r="C196" s="13"/>
      <c r="D196" s="13"/>
      <c r="E196" s="13"/>
      <c r="F196" s="13"/>
    </row>
    <row r="197" spans="2:6" hidden="1" x14ac:dyDescent="0.2">
      <c r="B197" s="13"/>
      <c r="C197" s="13"/>
      <c r="D197" s="13"/>
      <c r="E197" s="13"/>
      <c r="F197" s="13"/>
    </row>
    <row r="198" spans="2:6" hidden="1" x14ac:dyDescent="0.2">
      <c r="B198" s="13"/>
      <c r="C198" s="13"/>
      <c r="D198" s="13"/>
      <c r="E198" s="13"/>
      <c r="F198" s="13"/>
    </row>
    <row r="199" spans="2:6" hidden="1" x14ac:dyDescent="0.2">
      <c r="B199" s="13"/>
      <c r="C199" s="13"/>
      <c r="D199" s="13"/>
      <c r="E199" s="13"/>
      <c r="F199" s="13"/>
    </row>
    <row r="200" spans="2:6" hidden="1" x14ac:dyDescent="0.2">
      <c r="B200" s="13"/>
      <c r="C200" s="13"/>
      <c r="D200" s="13"/>
      <c r="E200" s="13"/>
      <c r="F200" s="13"/>
    </row>
    <row r="201" spans="2:6" hidden="1" x14ac:dyDescent="0.2">
      <c r="B201" s="13"/>
      <c r="C201" s="13"/>
      <c r="D201" s="13"/>
      <c r="E201" s="13"/>
      <c r="F201" s="13"/>
    </row>
    <row r="202" spans="2:6" hidden="1" x14ac:dyDescent="0.2">
      <c r="B202" s="13"/>
      <c r="C202" s="13"/>
      <c r="D202" s="13"/>
      <c r="E202" s="13"/>
      <c r="F202" s="13"/>
    </row>
    <row r="203" spans="2:6" hidden="1" x14ac:dyDescent="0.2">
      <c r="B203" s="13"/>
      <c r="C203" s="13"/>
      <c r="D203" s="13"/>
      <c r="E203" s="13"/>
      <c r="F203" s="13"/>
    </row>
    <row r="204" spans="2:6" hidden="1" x14ac:dyDescent="0.2">
      <c r="B204" s="13"/>
      <c r="C204" s="13"/>
      <c r="D204" s="13"/>
      <c r="E204" s="13"/>
      <c r="F204" s="13"/>
    </row>
    <row r="205" spans="2:6" hidden="1" x14ac:dyDescent="0.2">
      <c r="B205" s="13"/>
      <c r="C205" s="13"/>
      <c r="D205" s="13"/>
      <c r="E205" s="13"/>
      <c r="F205" s="13"/>
    </row>
    <row r="206" spans="2:6" hidden="1" x14ac:dyDescent="0.2">
      <c r="B206" s="13"/>
      <c r="C206" s="13"/>
      <c r="D206" s="13"/>
      <c r="E206" s="13"/>
      <c r="F206" s="13"/>
    </row>
    <row r="207" spans="2:6" hidden="1" x14ac:dyDescent="0.2">
      <c r="B207" s="13"/>
      <c r="C207" s="13"/>
      <c r="D207" s="13"/>
      <c r="E207" s="13"/>
      <c r="F207" s="13"/>
    </row>
    <row r="208" spans="2:6" hidden="1" x14ac:dyDescent="0.2">
      <c r="B208" s="13"/>
      <c r="C208" s="13"/>
      <c r="D208" s="13"/>
      <c r="E208" s="13"/>
      <c r="F208" s="13"/>
    </row>
    <row r="209" spans="2:6" hidden="1" x14ac:dyDescent="0.2">
      <c r="B209" s="13"/>
      <c r="C209" s="13"/>
      <c r="D209" s="13"/>
      <c r="E209" s="13"/>
      <c r="F209" s="13"/>
    </row>
    <row r="210" spans="2:6" hidden="1" x14ac:dyDescent="0.2">
      <c r="B210" s="13"/>
      <c r="C210" s="13"/>
      <c r="D210" s="13"/>
      <c r="E210" s="13"/>
      <c r="F210" s="13"/>
    </row>
    <row r="211" spans="2:6" hidden="1" x14ac:dyDescent="0.2">
      <c r="B211" s="13"/>
      <c r="C211" s="13"/>
      <c r="D211" s="13"/>
      <c r="E211" s="13"/>
      <c r="F211" s="13"/>
    </row>
    <row r="212" spans="2:6" hidden="1" x14ac:dyDescent="0.2">
      <c r="B212" s="13"/>
      <c r="C212" s="13"/>
      <c r="D212" s="13"/>
      <c r="E212" s="13"/>
      <c r="F212" s="13"/>
    </row>
    <row r="213" spans="2:6" hidden="1" x14ac:dyDescent="0.2">
      <c r="B213" s="13"/>
      <c r="C213" s="13"/>
      <c r="D213" s="13"/>
      <c r="E213" s="13"/>
      <c r="F213" s="13"/>
    </row>
    <row r="214" spans="2:6" hidden="1" x14ac:dyDescent="0.2">
      <c r="B214" s="13"/>
      <c r="C214" s="13"/>
      <c r="D214" s="13"/>
      <c r="E214" s="13"/>
      <c r="F214" s="13"/>
    </row>
    <row r="215" spans="2:6" hidden="1" x14ac:dyDescent="0.2">
      <c r="B215" s="13"/>
      <c r="C215" s="13"/>
      <c r="D215" s="13"/>
      <c r="E215" s="13"/>
      <c r="F215" s="13"/>
    </row>
    <row r="216" spans="2:6" hidden="1" x14ac:dyDescent="0.2">
      <c r="B216" s="13"/>
      <c r="C216" s="13"/>
      <c r="D216" s="13"/>
      <c r="E216" s="13"/>
      <c r="F216" s="13"/>
    </row>
    <row r="217" spans="2:6" hidden="1" x14ac:dyDescent="0.2">
      <c r="B217" s="13"/>
      <c r="C217" s="13"/>
      <c r="D217" s="13"/>
      <c r="E217" s="13"/>
      <c r="F217" s="13"/>
    </row>
    <row r="218" spans="2:6" hidden="1" x14ac:dyDescent="0.2">
      <c r="B218" s="13"/>
      <c r="C218" s="13"/>
      <c r="D218" s="13"/>
      <c r="E218" s="13"/>
      <c r="F218" s="13"/>
    </row>
    <row r="219" spans="2:6" hidden="1" x14ac:dyDescent="0.2">
      <c r="B219" s="13"/>
      <c r="C219" s="13"/>
      <c r="D219" s="13"/>
      <c r="E219" s="13"/>
      <c r="F219" s="13"/>
    </row>
    <row r="220" spans="2:6" hidden="1" x14ac:dyDescent="0.2">
      <c r="B220" s="13"/>
      <c r="C220" s="13"/>
      <c r="D220" s="13"/>
      <c r="E220" s="13"/>
      <c r="F220" s="13"/>
    </row>
    <row r="221" spans="2:6" hidden="1" x14ac:dyDescent="0.2">
      <c r="B221" s="13"/>
      <c r="C221" s="13"/>
      <c r="D221" s="13"/>
      <c r="E221" s="13"/>
      <c r="F221" s="13"/>
    </row>
    <row r="222" spans="2:6" hidden="1" x14ac:dyDescent="0.2">
      <c r="B222" s="13"/>
      <c r="C222" s="13"/>
      <c r="D222" s="13"/>
      <c r="E222" s="13"/>
      <c r="F222" s="13"/>
    </row>
    <row r="223" spans="2:6" hidden="1" x14ac:dyDescent="0.2">
      <c r="B223" s="13"/>
      <c r="C223" s="13"/>
      <c r="D223" s="13"/>
      <c r="E223" s="13"/>
      <c r="F223" s="13"/>
    </row>
    <row r="224" spans="2:6" hidden="1" x14ac:dyDescent="0.2">
      <c r="B224" s="13"/>
      <c r="C224" s="13"/>
      <c r="D224" s="13"/>
      <c r="E224" s="13"/>
      <c r="F224" s="13"/>
    </row>
    <row r="225" spans="2:6" hidden="1" x14ac:dyDescent="0.2">
      <c r="B225" s="13"/>
      <c r="C225" s="13"/>
      <c r="D225" s="13"/>
      <c r="E225" s="13"/>
      <c r="F225" s="13"/>
    </row>
    <row r="226" spans="2:6" hidden="1" x14ac:dyDescent="0.2">
      <c r="B226" s="13"/>
      <c r="C226" s="13"/>
      <c r="D226" s="13"/>
      <c r="E226" s="13"/>
      <c r="F226" s="13"/>
    </row>
    <row r="227" spans="2:6" hidden="1" x14ac:dyDescent="0.2">
      <c r="B227" s="13"/>
      <c r="C227" s="13"/>
      <c r="D227" s="13"/>
      <c r="E227" s="13"/>
      <c r="F227" s="13"/>
    </row>
    <row r="228" spans="2:6" hidden="1" x14ac:dyDescent="0.2">
      <c r="B228" s="13"/>
      <c r="C228" s="13"/>
      <c r="D228" s="13"/>
      <c r="E228" s="13"/>
      <c r="F228" s="13"/>
    </row>
    <row r="229" spans="2:6" hidden="1" x14ac:dyDescent="0.2">
      <c r="B229" s="13"/>
      <c r="C229" s="13"/>
      <c r="D229" s="13"/>
      <c r="E229" s="13"/>
      <c r="F229" s="13"/>
    </row>
    <row r="230" spans="2:6" hidden="1" x14ac:dyDescent="0.2">
      <c r="B230" s="13"/>
      <c r="C230" s="13"/>
      <c r="D230" s="13"/>
      <c r="E230" s="13"/>
      <c r="F230" s="13"/>
    </row>
    <row r="231" spans="2:6" hidden="1" x14ac:dyDescent="0.2">
      <c r="B231" s="13"/>
      <c r="C231" s="13"/>
      <c r="D231" s="13"/>
      <c r="E231" s="13"/>
      <c r="F231" s="13"/>
    </row>
    <row r="232" spans="2:6" hidden="1" x14ac:dyDescent="0.2">
      <c r="B232" s="13"/>
      <c r="C232" s="13"/>
      <c r="D232" s="13"/>
      <c r="E232" s="13"/>
      <c r="F232" s="13"/>
    </row>
    <row r="233" spans="2:6" hidden="1" x14ac:dyDescent="0.2">
      <c r="B233" s="13"/>
      <c r="C233" s="13"/>
      <c r="D233" s="13"/>
      <c r="E233" s="13"/>
      <c r="F233" s="13"/>
    </row>
    <row r="234" spans="2:6" hidden="1" x14ac:dyDescent="0.2">
      <c r="B234" s="13"/>
      <c r="C234" s="13"/>
      <c r="D234" s="13"/>
      <c r="E234" s="13"/>
      <c r="F234" s="13"/>
    </row>
    <row r="235" spans="2:6" hidden="1" x14ac:dyDescent="0.2">
      <c r="B235" s="13"/>
      <c r="C235" s="13"/>
      <c r="D235" s="13"/>
      <c r="E235" s="13"/>
      <c r="F235" s="13"/>
    </row>
    <row r="236" spans="2:6" hidden="1" x14ac:dyDescent="0.2">
      <c r="B236" s="13"/>
      <c r="C236" s="13"/>
      <c r="D236" s="13"/>
      <c r="E236" s="13"/>
      <c r="F236" s="13"/>
    </row>
    <row r="237" spans="2:6" hidden="1" x14ac:dyDescent="0.2">
      <c r="B237" s="13"/>
      <c r="C237" s="13"/>
      <c r="D237" s="13"/>
      <c r="E237" s="13"/>
      <c r="F237" s="13"/>
    </row>
    <row r="238" spans="2:6" hidden="1" x14ac:dyDescent="0.2">
      <c r="B238" s="13"/>
      <c r="C238" s="13"/>
      <c r="D238" s="13"/>
      <c r="E238" s="13"/>
      <c r="F238" s="13"/>
    </row>
    <row r="239" spans="2:6" hidden="1" x14ac:dyDescent="0.2">
      <c r="B239" s="13"/>
      <c r="C239" s="13"/>
      <c r="D239" s="13"/>
      <c r="E239" s="13"/>
      <c r="F239" s="13"/>
    </row>
    <row r="240" spans="2:6" hidden="1" x14ac:dyDescent="0.2">
      <c r="B240" s="13"/>
      <c r="C240" s="13"/>
      <c r="D240" s="13"/>
      <c r="E240" s="13"/>
      <c r="F240" s="13"/>
    </row>
    <row r="241" spans="2:6" hidden="1" x14ac:dyDescent="0.2">
      <c r="B241" s="13"/>
      <c r="C241" s="13"/>
      <c r="D241" s="13"/>
      <c r="E241" s="13"/>
      <c r="F241" s="13"/>
    </row>
    <row r="242" spans="2:6" hidden="1" x14ac:dyDescent="0.2">
      <c r="B242" s="13"/>
      <c r="C242" s="13"/>
      <c r="D242" s="13"/>
      <c r="E242" s="13"/>
      <c r="F242" s="13"/>
    </row>
    <row r="243" spans="2:6" hidden="1" x14ac:dyDescent="0.2">
      <c r="B243" s="13"/>
      <c r="C243" s="13"/>
      <c r="D243" s="13"/>
      <c r="E243" s="13"/>
      <c r="F243" s="13"/>
    </row>
    <row r="244" spans="2:6" hidden="1" x14ac:dyDescent="0.2">
      <c r="B244" s="13"/>
      <c r="C244" s="13"/>
      <c r="D244" s="13"/>
      <c r="E244" s="13"/>
      <c r="F244" s="13"/>
    </row>
    <row r="245" spans="2:6" hidden="1" x14ac:dyDescent="0.2">
      <c r="B245" s="13"/>
      <c r="C245" s="13"/>
      <c r="D245" s="13"/>
      <c r="E245" s="13"/>
      <c r="F245" s="13"/>
    </row>
    <row r="246" spans="2:6" hidden="1" x14ac:dyDescent="0.2">
      <c r="B246" s="13"/>
      <c r="C246" s="13"/>
      <c r="D246" s="13"/>
      <c r="E246" s="13"/>
      <c r="F246" s="13"/>
    </row>
    <row r="247" spans="2:6" hidden="1" x14ac:dyDescent="0.2">
      <c r="B247" s="13"/>
      <c r="C247" s="13"/>
      <c r="D247" s="13"/>
      <c r="E247" s="13"/>
      <c r="F247" s="13"/>
    </row>
    <row r="248" spans="2:6" hidden="1" x14ac:dyDescent="0.2">
      <c r="B248" s="13"/>
      <c r="C248" s="13"/>
      <c r="D248" s="13"/>
      <c r="E248" s="13"/>
      <c r="F248" s="13"/>
    </row>
    <row r="249" spans="2:6" hidden="1" x14ac:dyDescent="0.2">
      <c r="B249" s="13"/>
      <c r="C249" s="13"/>
      <c r="D249" s="13"/>
      <c r="E249" s="13"/>
      <c r="F249" s="13"/>
    </row>
    <row r="250" spans="2:6" hidden="1" x14ac:dyDescent="0.2">
      <c r="B250" s="13"/>
      <c r="C250" s="13"/>
      <c r="D250" s="13"/>
      <c r="E250" s="13"/>
      <c r="F250" s="13"/>
    </row>
    <row r="251" spans="2:6" hidden="1" x14ac:dyDescent="0.2">
      <c r="B251" s="13"/>
      <c r="C251" s="13"/>
      <c r="D251" s="13"/>
      <c r="E251" s="13"/>
      <c r="F251" s="13"/>
    </row>
    <row r="252" spans="2:6" hidden="1" x14ac:dyDescent="0.2">
      <c r="B252" s="13"/>
      <c r="C252" s="13"/>
      <c r="D252" s="13"/>
      <c r="E252" s="13"/>
      <c r="F252" s="13"/>
    </row>
    <row r="253" spans="2:6" hidden="1" x14ac:dyDescent="0.2">
      <c r="B253" s="13"/>
      <c r="C253" s="13"/>
      <c r="D253" s="13"/>
      <c r="E253" s="13"/>
      <c r="F253" s="13"/>
    </row>
    <row r="254" spans="2:6" hidden="1" x14ac:dyDescent="0.2">
      <c r="B254" s="13"/>
      <c r="C254" s="13"/>
      <c r="D254" s="13"/>
      <c r="E254" s="13"/>
      <c r="F254" s="13"/>
    </row>
    <row r="255" spans="2:6" hidden="1" x14ac:dyDescent="0.2">
      <c r="B255" s="13"/>
      <c r="C255" s="13"/>
      <c r="D255" s="13"/>
      <c r="E255" s="13"/>
      <c r="F255" s="13"/>
    </row>
    <row r="256" spans="2:6" hidden="1" x14ac:dyDescent="0.2">
      <c r="B256" s="13"/>
      <c r="C256" s="13"/>
      <c r="D256" s="13"/>
      <c r="E256" s="13"/>
      <c r="F256" s="13"/>
    </row>
    <row r="257" spans="2:6" hidden="1" x14ac:dyDescent="0.2">
      <c r="B257" s="13"/>
      <c r="C257" s="13"/>
      <c r="D257" s="13"/>
      <c r="E257" s="13"/>
      <c r="F257" s="13"/>
    </row>
    <row r="258" spans="2:6" hidden="1" x14ac:dyDescent="0.2">
      <c r="B258" s="13"/>
      <c r="C258" s="13"/>
      <c r="D258" s="13"/>
      <c r="E258" s="13"/>
      <c r="F258" s="13"/>
    </row>
    <row r="259" spans="2:6" hidden="1" x14ac:dyDescent="0.2">
      <c r="B259" s="13"/>
      <c r="C259" s="13"/>
      <c r="D259" s="13"/>
      <c r="E259" s="13"/>
      <c r="F259" s="13"/>
    </row>
    <row r="260" spans="2:6" hidden="1" x14ac:dyDescent="0.2">
      <c r="B260" s="13"/>
      <c r="C260" s="13"/>
      <c r="D260" s="13"/>
      <c r="E260" s="13"/>
      <c r="F260" s="13"/>
    </row>
    <row r="261" spans="2:6" hidden="1" x14ac:dyDescent="0.2">
      <c r="B261" s="13"/>
      <c r="C261" s="13"/>
      <c r="D261" s="13"/>
      <c r="E261" s="13"/>
      <c r="F261" s="13"/>
    </row>
    <row r="262" spans="2:6" hidden="1" x14ac:dyDescent="0.2">
      <c r="B262" s="13"/>
      <c r="C262" s="13"/>
      <c r="D262" s="13"/>
      <c r="E262" s="13"/>
      <c r="F262" s="13"/>
    </row>
    <row r="263" spans="2:6" hidden="1" x14ac:dyDescent="0.2">
      <c r="B263" s="13"/>
      <c r="C263" s="13"/>
      <c r="D263" s="13"/>
      <c r="E263" s="13"/>
      <c r="F263" s="13"/>
    </row>
    <row r="264" spans="2:6" hidden="1" x14ac:dyDescent="0.2">
      <c r="B264" s="13"/>
      <c r="C264" s="13"/>
      <c r="D264" s="13"/>
      <c r="E264" s="13"/>
      <c r="F264" s="13"/>
    </row>
    <row r="265" spans="2:6" hidden="1" x14ac:dyDescent="0.2">
      <c r="B265" s="13"/>
      <c r="C265" s="13"/>
      <c r="D265" s="13"/>
      <c r="E265" s="13"/>
      <c r="F265" s="13"/>
    </row>
    <row r="266" spans="2:6" hidden="1" x14ac:dyDescent="0.2">
      <c r="B266" s="13"/>
      <c r="C266" s="13"/>
      <c r="D266" s="13"/>
      <c r="E266" s="13"/>
      <c r="F266" s="13"/>
    </row>
    <row r="267" spans="2:6" hidden="1" x14ac:dyDescent="0.2">
      <c r="B267" s="13"/>
      <c r="C267" s="13"/>
      <c r="D267" s="13"/>
      <c r="E267" s="13"/>
      <c r="F267" s="13"/>
    </row>
    <row r="268" spans="2:6" hidden="1" x14ac:dyDescent="0.2">
      <c r="B268" s="13"/>
      <c r="C268" s="13"/>
      <c r="D268" s="13"/>
      <c r="E268" s="13"/>
      <c r="F268" s="13"/>
    </row>
    <row r="269" spans="2:6" hidden="1" x14ac:dyDescent="0.2">
      <c r="B269" s="13"/>
      <c r="C269" s="13"/>
      <c r="D269" s="13"/>
      <c r="E269" s="13"/>
      <c r="F269" s="13"/>
    </row>
    <row r="270" spans="2:6" hidden="1" x14ac:dyDescent="0.2">
      <c r="B270" s="13"/>
      <c r="C270" s="13"/>
      <c r="D270" s="13"/>
      <c r="E270" s="13"/>
      <c r="F270" s="13"/>
    </row>
    <row r="271" spans="2:6" hidden="1" x14ac:dyDescent="0.2">
      <c r="B271" s="13"/>
      <c r="C271" s="13"/>
      <c r="D271" s="13"/>
      <c r="E271" s="13"/>
      <c r="F271" s="13"/>
    </row>
    <row r="272" spans="2:6" hidden="1" x14ac:dyDescent="0.2">
      <c r="B272" s="13"/>
      <c r="C272" s="13"/>
      <c r="D272" s="13"/>
      <c r="E272" s="13"/>
      <c r="F272" s="13"/>
    </row>
  </sheetData>
  <sheetProtection password="D65F" sheet="1" objects="1" scenarios="1"/>
  <customSheetViews>
    <customSheetView guid="{2A376E74-9008-4CC4-AF78-5E9088D4FA1D}" fitToPage="1" hiddenRows="1" hiddenColumns="1" state="hidden">
      <pageMargins left="0.70866141732283472" right="0.70866141732283472" top="0.78740157480314965" bottom="0.78740157480314965" header="0.31496062992125984" footer="0.31496062992125984"/>
      <pageSetup paperSize="9" scale="65" orientation="portrait" horizontalDpi="4294967293" verticalDpi="0" r:id="rId1"/>
    </customSheetView>
  </customSheetViews>
  <mergeCells count="3">
    <mergeCell ref="D2:E2"/>
    <mergeCell ref="B6:F6"/>
    <mergeCell ref="G7:I9"/>
  </mergeCells>
  <dataValidations count="2">
    <dataValidation type="list" allowBlank="1" showErrorMessage="1" errorTitle="Fischart" error="Bitte aus Liste auswählen" sqref="WVL983038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4 IZ65534 SV65534 ACR65534 AMN65534 AWJ65534 BGF65534 BQB65534 BZX65534 CJT65534 CTP65534 DDL65534 DNH65534 DXD65534 EGZ65534 EQV65534 FAR65534 FKN65534 FUJ65534 GEF65534 GOB65534 GXX65534 HHT65534 HRP65534 IBL65534 ILH65534 IVD65534 JEZ65534 JOV65534 JYR65534 KIN65534 KSJ65534 LCF65534 LMB65534 LVX65534 MFT65534 MPP65534 MZL65534 NJH65534 NTD65534 OCZ65534 OMV65534 OWR65534 PGN65534 PQJ65534 QAF65534 QKB65534 QTX65534 RDT65534 RNP65534 RXL65534 SHH65534 SRD65534 TAZ65534 TKV65534 TUR65534 UEN65534 UOJ65534 UYF65534 VIB65534 VRX65534 WBT65534 WLP65534 WVL65534 D131070 IZ131070 SV131070 ACR131070 AMN131070 AWJ131070 BGF131070 BQB131070 BZX131070 CJT131070 CTP131070 DDL131070 DNH131070 DXD131070 EGZ131070 EQV131070 FAR131070 FKN131070 FUJ131070 GEF131070 GOB131070 GXX131070 HHT131070 HRP131070 IBL131070 ILH131070 IVD131070 JEZ131070 JOV131070 JYR131070 KIN131070 KSJ131070 LCF131070 LMB131070 LVX131070 MFT131070 MPP131070 MZL131070 NJH131070 NTD131070 OCZ131070 OMV131070 OWR131070 PGN131070 PQJ131070 QAF131070 QKB131070 QTX131070 RDT131070 RNP131070 RXL131070 SHH131070 SRD131070 TAZ131070 TKV131070 TUR131070 UEN131070 UOJ131070 UYF131070 VIB131070 VRX131070 WBT131070 WLP131070 WVL131070 D196606 IZ196606 SV196606 ACR196606 AMN196606 AWJ196606 BGF196606 BQB196606 BZX196606 CJT196606 CTP196606 DDL196606 DNH196606 DXD196606 EGZ196606 EQV196606 FAR196606 FKN196606 FUJ196606 GEF196606 GOB196606 GXX196606 HHT196606 HRP196606 IBL196606 ILH196606 IVD196606 JEZ196606 JOV196606 JYR196606 KIN196606 KSJ196606 LCF196606 LMB196606 LVX196606 MFT196606 MPP196606 MZL196606 NJH196606 NTD196606 OCZ196606 OMV196606 OWR196606 PGN196606 PQJ196606 QAF196606 QKB196606 QTX196606 RDT196606 RNP196606 RXL196606 SHH196606 SRD196606 TAZ196606 TKV196606 TUR196606 UEN196606 UOJ196606 UYF196606 VIB196606 VRX196606 WBT196606 WLP196606 WVL196606 D262142 IZ262142 SV262142 ACR262142 AMN262142 AWJ262142 BGF262142 BQB262142 BZX262142 CJT262142 CTP262142 DDL262142 DNH262142 DXD262142 EGZ262142 EQV262142 FAR262142 FKN262142 FUJ262142 GEF262142 GOB262142 GXX262142 HHT262142 HRP262142 IBL262142 ILH262142 IVD262142 JEZ262142 JOV262142 JYR262142 KIN262142 KSJ262142 LCF262142 LMB262142 LVX262142 MFT262142 MPP262142 MZL262142 NJH262142 NTD262142 OCZ262142 OMV262142 OWR262142 PGN262142 PQJ262142 QAF262142 QKB262142 QTX262142 RDT262142 RNP262142 RXL262142 SHH262142 SRD262142 TAZ262142 TKV262142 TUR262142 UEN262142 UOJ262142 UYF262142 VIB262142 VRX262142 WBT262142 WLP262142 WVL262142 D327678 IZ327678 SV327678 ACR327678 AMN327678 AWJ327678 BGF327678 BQB327678 BZX327678 CJT327678 CTP327678 DDL327678 DNH327678 DXD327678 EGZ327678 EQV327678 FAR327678 FKN327678 FUJ327678 GEF327678 GOB327678 GXX327678 HHT327678 HRP327678 IBL327678 ILH327678 IVD327678 JEZ327678 JOV327678 JYR327678 KIN327678 KSJ327678 LCF327678 LMB327678 LVX327678 MFT327678 MPP327678 MZL327678 NJH327678 NTD327678 OCZ327678 OMV327678 OWR327678 PGN327678 PQJ327678 QAF327678 QKB327678 QTX327678 RDT327678 RNP327678 RXL327678 SHH327678 SRD327678 TAZ327678 TKV327678 TUR327678 UEN327678 UOJ327678 UYF327678 VIB327678 VRX327678 WBT327678 WLP327678 WVL327678 D393214 IZ393214 SV393214 ACR393214 AMN393214 AWJ393214 BGF393214 BQB393214 BZX393214 CJT393214 CTP393214 DDL393214 DNH393214 DXD393214 EGZ393214 EQV393214 FAR393214 FKN393214 FUJ393214 GEF393214 GOB393214 GXX393214 HHT393214 HRP393214 IBL393214 ILH393214 IVD393214 JEZ393214 JOV393214 JYR393214 KIN393214 KSJ393214 LCF393214 LMB393214 LVX393214 MFT393214 MPP393214 MZL393214 NJH393214 NTD393214 OCZ393214 OMV393214 OWR393214 PGN393214 PQJ393214 QAF393214 QKB393214 QTX393214 RDT393214 RNP393214 RXL393214 SHH393214 SRD393214 TAZ393214 TKV393214 TUR393214 UEN393214 UOJ393214 UYF393214 VIB393214 VRX393214 WBT393214 WLP393214 WVL393214 D458750 IZ458750 SV458750 ACR458750 AMN458750 AWJ458750 BGF458750 BQB458750 BZX458750 CJT458750 CTP458750 DDL458750 DNH458750 DXD458750 EGZ458750 EQV458750 FAR458750 FKN458750 FUJ458750 GEF458750 GOB458750 GXX458750 HHT458750 HRP458750 IBL458750 ILH458750 IVD458750 JEZ458750 JOV458750 JYR458750 KIN458750 KSJ458750 LCF458750 LMB458750 LVX458750 MFT458750 MPP458750 MZL458750 NJH458750 NTD458750 OCZ458750 OMV458750 OWR458750 PGN458750 PQJ458750 QAF458750 QKB458750 QTX458750 RDT458750 RNP458750 RXL458750 SHH458750 SRD458750 TAZ458750 TKV458750 TUR458750 UEN458750 UOJ458750 UYF458750 VIB458750 VRX458750 WBT458750 WLP458750 WVL458750 D524286 IZ524286 SV524286 ACR524286 AMN524286 AWJ524286 BGF524286 BQB524286 BZX524286 CJT524286 CTP524286 DDL524286 DNH524286 DXD524286 EGZ524286 EQV524286 FAR524286 FKN524286 FUJ524286 GEF524286 GOB524286 GXX524286 HHT524286 HRP524286 IBL524286 ILH524286 IVD524286 JEZ524286 JOV524286 JYR524286 KIN524286 KSJ524286 LCF524286 LMB524286 LVX524286 MFT524286 MPP524286 MZL524286 NJH524286 NTD524286 OCZ524286 OMV524286 OWR524286 PGN524286 PQJ524286 QAF524286 QKB524286 QTX524286 RDT524286 RNP524286 RXL524286 SHH524286 SRD524286 TAZ524286 TKV524286 TUR524286 UEN524286 UOJ524286 UYF524286 VIB524286 VRX524286 WBT524286 WLP524286 WVL524286 D589822 IZ589822 SV589822 ACR589822 AMN589822 AWJ589822 BGF589822 BQB589822 BZX589822 CJT589822 CTP589822 DDL589822 DNH589822 DXD589822 EGZ589822 EQV589822 FAR589822 FKN589822 FUJ589822 GEF589822 GOB589822 GXX589822 HHT589822 HRP589822 IBL589822 ILH589822 IVD589822 JEZ589822 JOV589822 JYR589822 KIN589822 KSJ589822 LCF589822 LMB589822 LVX589822 MFT589822 MPP589822 MZL589822 NJH589822 NTD589822 OCZ589822 OMV589822 OWR589822 PGN589822 PQJ589822 QAF589822 QKB589822 QTX589822 RDT589822 RNP589822 RXL589822 SHH589822 SRD589822 TAZ589822 TKV589822 TUR589822 UEN589822 UOJ589822 UYF589822 VIB589822 VRX589822 WBT589822 WLP589822 WVL589822 D655358 IZ655358 SV655358 ACR655358 AMN655358 AWJ655358 BGF655358 BQB655358 BZX655358 CJT655358 CTP655358 DDL655358 DNH655358 DXD655358 EGZ655358 EQV655358 FAR655358 FKN655358 FUJ655358 GEF655358 GOB655358 GXX655358 HHT655358 HRP655358 IBL655358 ILH655358 IVD655358 JEZ655358 JOV655358 JYR655358 KIN655358 KSJ655358 LCF655358 LMB655358 LVX655358 MFT655358 MPP655358 MZL655358 NJH655358 NTD655358 OCZ655358 OMV655358 OWR655358 PGN655358 PQJ655358 QAF655358 QKB655358 QTX655358 RDT655358 RNP655358 RXL655358 SHH655358 SRD655358 TAZ655358 TKV655358 TUR655358 UEN655358 UOJ655358 UYF655358 VIB655358 VRX655358 WBT655358 WLP655358 WVL655358 D720894 IZ720894 SV720894 ACR720894 AMN720894 AWJ720894 BGF720894 BQB720894 BZX720894 CJT720894 CTP720894 DDL720894 DNH720894 DXD720894 EGZ720894 EQV720894 FAR720894 FKN720894 FUJ720894 GEF720894 GOB720894 GXX720894 HHT720894 HRP720894 IBL720894 ILH720894 IVD720894 JEZ720894 JOV720894 JYR720894 KIN720894 KSJ720894 LCF720894 LMB720894 LVX720894 MFT720894 MPP720894 MZL720894 NJH720894 NTD720894 OCZ720894 OMV720894 OWR720894 PGN720894 PQJ720894 QAF720894 QKB720894 QTX720894 RDT720894 RNP720894 RXL720894 SHH720894 SRD720894 TAZ720894 TKV720894 TUR720894 UEN720894 UOJ720894 UYF720894 VIB720894 VRX720894 WBT720894 WLP720894 WVL720894 D786430 IZ786430 SV786430 ACR786430 AMN786430 AWJ786430 BGF786430 BQB786430 BZX786430 CJT786430 CTP786430 DDL786430 DNH786430 DXD786430 EGZ786430 EQV786430 FAR786430 FKN786430 FUJ786430 GEF786430 GOB786430 GXX786430 HHT786430 HRP786430 IBL786430 ILH786430 IVD786430 JEZ786430 JOV786430 JYR786430 KIN786430 KSJ786430 LCF786430 LMB786430 LVX786430 MFT786430 MPP786430 MZL786430 NJH786430 NTD786430 OCZ786430 OMV786430 OWR786430 PGN786430 PQJ786430 QAF786430 QKB786430 QTX786430 RDT786430 RNP786430 RXL786430 SHH786430 SRD786430 TAZ786430 TKV786430 TUR786430 UEN786430 UOJ786430 UYF786430 VIB786430 VRX786430 WBT786430 WLP786430 WVL786430 D851966 IZ851966 SV851966 ACR851966 AMN851966 AWJ851966 BGF851966 BQB851966 BZX851966 CJT851966 CTP851966 DDL851966 DNH851966 DXD851966 EGZ851966 EQV851966 FAR851966 FKN851966 FUJ851966 GEF851966 GOB851966 GXX851966 HHT851966 HRP851966 IBL851966 ILH851966 IVD851966 JEZ851966 JOV851966 JYR851966 KIN851966 KSJ851966 LCF851966 LMB851966 LVX851966 MFT851966 MPP851966 MZL851966 NJH851966 NTD851966 OCZ851966 OMV851966 OWR851966 PGN851966 PQJ851966 QAF851966 QKB851966 QTX851966 RDT851966 RNP851966 RXL851966 SHH851966 SRD851966 TAZ851966 TKV851966 TUR851966 UEN851966 UOJ851966 UYF851966 VIB851966 VRX851966 WBT851966 WLP851966 WVL851966 D917502 IZ917502 SV917502 ACR917502 AMN917502 AWJ917502 BGF917502 BQB917502 BZX917502 CJT917502 CTP917502 DDL917502 DNH917502 DXD917502 EGZ917502 EQV917502 FAR917502 FKN917502 FUJ917502 GEF917502 GOB917502 GXX917502 HHT917502 HRP917502 IBL917502 ILH917502 IVD917502 JEZ917502 JOV917502 JYR917502 KIN917502 KSJ917502 LCF917502 LMB917502 LVX917502 MFT917502 MPP917502 MZL917502 NJH917502 NTD917502 OCZ917502 OMV917502 OWR917502 PGN917502 PQJ917502 QAF917502 QKB917502 QTX917502 RDT917502 RNP917502 RXL917502 SHH917502 SRD917502 TAZ917502 TKV917502 TUR917502 UEN917502 UOJ917502 UYF917502 VIB917502 VRX917502 WBT917502 WLP917502 WVL917502 D983038 IZ983038 SV983038 ACR983038 AMN983038 AWJ983038 BGF983038 BQB983038 BZX983038 CJT983038 CTP983038 DDL983038 DNH983038 DXD983038 EGZ983038 EQV983038 FAR983038 FKN983038 FUJ983038 GEF983038 GOB983038 GXX983038 HHT983038 HRP983038 IBL983038 ILH983038 IVD983038 JEZ983038 JOV983038 JYR983038 KIN983038 KSJ983038 LCF983038 LMB983038 LVX983038 MFT983038 MPP983038 MZL983038 NJH983038 NTD983038 OCZ983038 OMV983038 OWR983038 PGN983038 PQJ983038 QAF983038 QKB983038 QTX983038 RDT983038 RNP983038 RXL983038 SHH983038 SRD983038 TAZ983038 TKV983038 TUR983038 UEN983038 UOJ983038 UYF983038 VIB983038 VRX983038 WBT983038 WLP983038">
      <formula1>Fischart</formula1>
    </dataValidation>
    <dataValidation type="list" allowBlank="1" showErrorMessage="1" errorTitle="Fischart" error="Bitte aus Liste auswählen" sqref="D2:E2">
      <formula1>Fisch</formula1>
    </dataValidation>
  </dataValidations>
  <pageMargins left="0.70866141732283472" right="0.70866141732283472" top="0.78740157480314965" bottom="0.78740157480314965" header="0.31496062992125984" footer="0.31496062992125984"/>
  <pageSetup paperSize="9" scale="65" orientation="portrait" horizontalDpi="4294967293"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Y195"/>
  <sheetViews>
    <sheetView topLeftCell="A25" workbookViewId="0">
      <pane xSplit="2" ySplit="6" topLeftCell="C31" activePane="bottomRight" state="frozen"/>
      <selection activeCell="A25" sqref="A25"/>
      <selection pane="topRight" activeCell="C25" sqref="C25"/>
      <selection pane="bottomLeft" activeCell="A31" sqref="A31"/>
      <selection pane="bottomRight" activeCell="C31" sqref="C31"/>
    </sheetView>
  </sheetViews>
  <sheetFormatPr baseColWidth="10" defaultRowHeight="12.75" x14ac:dyDescent="0.2"/>
  <cols>
    <col min="2" max="2" width="36.140625" customWidth="1"/>
    <col min="3" max="5" width="15.7109375" customWidth="1"/>
    <col min="6" max="6" width="1.28515625" customWidth="1"/>
    <col min="7" max="9" width="15.7109375" style="37" customWidth="1"/>
    <col min="11" max="11" width="1.28515625" customWidth="1"/>
    <col min="16" max="16" width="1.28515625" customWidth="1"/>
    <col min="21" max="21" width="1.28515625" customWidth="1"/>
    <col min="22" max="22" width="11.42578125" customWidth="1"/>
  </cols>
  <sheetData>
    <row r="1" spans="1:9" x14ac:dyDescent="0.2">
      <c r="C1" s="37"/>
      <c r="D1" s="37"/>
      <c r="E1" s="37"/>
    </row>
    <row r="2" spans="1:9" x14ac:dyDescent="0.2">
      <c r="C2" s="37"/>
      <c r="D2" s="37"/>
      <c r="E2" s="37"/>
    </row>
    <row r="3" spans="1:9" x14ac:dyDescent="0.2">
      <c r="C3" s="37"/>
      <c r="D3" s="37"/>
      <c r="E3" s="37"/>
    </row>
    <row r="4" spans="1:9" x14ac:dyDescent="0.2">
      <c r="C4" s="37"/>
      <c r="D4" s="37"/>
      <c r="E4" s="37"/>
    </row>
    <row r="5" spans="1:9" s="24" customFormat="1" x14ac:dyDescent="0.2">
      <c r="G5" s="71"/>
      <c r="H5" s="71"/>
      <c r="I5" s="71"/>
    </row>
    <row r="6" spans="1:9" s="57" customFormat="1" x14ac:dyDescent="0.2">
      <c r="A6" s="57" t="s">
        <v>324</v>
      </c>
      <c r="G6" s="72"/>
      <c r="H6" s="72"/>
      <c r="I6" s="72"/>
    </row>
    <row r="8" spans="1:9" x14ac:dyDescent="0.2">
      <c r="G8" s="75" t="s">
        <v>359</v>
      </c>
      <c r="H8" s="67"/>
    </row>
    <row r="9" spans="1:9" x14ac:dyDescent="0.2">
      <c r="G9" s="75" t="s">
        <v>118</v>
      </c>
    </row>
    <row r="10" spans="1:9" x14ac:dyDescent="0.2">
      <c r="G10" s="76" t="s">
        <v>115</v>
      </c>
      <c r="H10" s="37">
        <v>3</v>
      </c>
      <c r="I10" s="37" t="s">
        <v>116</v>
      </c>
    </row>
    <row r="11" spans="1:9" x14ac:dyDescent="0.2">
      <c r="G11" s="76" t="s">
        <v>111</v>
      </c>
      <c r="H11" s="37">
        <v>100000</v>
      </c>
    </row>
    <row r="12" spans="1:9" x14ac:dyDescent="0.2">
      <c r="G12" s="76" t="s">
        <v>112</v>
      </c>
      <c r="H12" s="66" t="s">
        <v>114</v>
      </c>
      <c r="I12" s="37" t="s">
        <v>113</v>
      </c>
    </row>
    <row r="13" spans="1:9" x14ac:dyDescent="0.2">
      <c r="G13" s="76" t="s">
        <v>117</v>
      </c>
      <c r="H13" s="37">
        <v>30</v>
      </c>
      <c r="I13" s="37" t="s">
        <v>119</v>
      </c>
    </row>
    <row r="14" spans="1:9" x14ac:dyDescent="0.2">
      <c r="G14" s="76" t="s">
        <v>120</v>
      </c>
      <c r="H14" s="37">
        <v>12</v>
      </c>
      <c r="I14" s="37" t="s">
        <v>119</v>
      </c>
    </row>
    <row r="15" spans="1:9" x14ac:dyDescent="0.2">
      <c r="G15" s="76" t="s">
        <v>121</v>
      </c>
      <c r="H15" s="37">
        <v>8</v>
      </c>
      <c r="I15" s="37" t="s">
        <v>122</v>
      </c>
    </row>
    <row r="16" spans="1:9" x14ac:dyDescent="0.2">
      <c r="G16" s="76" t="s">
        <v>123</v>
      </c>
      <c r="H16" s="37">
        <v>420</v>
      </c>
      <c r="I16" s="37" t="s">
        <v>124</v>
      </c>
    </row>
    <row r="17" spans="2:25" x14ac:dyDescent="0.2">
      <c r="G17" s="76" t="s">
        <v>125</v>
      </c>
      <c r="H17" s="37">
        <v>15</v>
      </c>
      <c r="I17" s="37" t="s">
        <v>126</v>
      </c>
    </row>
    <row r="18" spans="2:25" x14ac:dyDescent="0.2">
      <c r="G18" s="76" t="s">
        <v>127</v>
      </c>
      <c r="H18" s="37">
        <v>10</v>
      </c>
      <c r="I18" s="37" t="s">
        <v>360</v>
      </c>
    </row>
    <row r="19" spans="2:25" x14ac:dyDescent="0.2">
      <c r="G19" s="76" t="s">
        <v>128</v>
      </c>
      <c r="H19" s="37">
        <v>0.45</v>
      </c>
      <c r="I19" s="76" t="s">
        <v>129</v>
      </c>
    </row>
    <row r="21" spans="2:25" x14ac:dyDescent="0.2">
      <c r="C21" s="37"/>
    </row>
    <row r="22" spans="2:25" x14ac:dyDescent="0.2">
      <c r="C22" s="37"/>
    </row>
    <row r="24" spans="2:25" s="25" customFormat="1" x14ac:dyDescent="0.2">
      <c r="G24" s="73"/>
      <c r="H24" s="73"/>
      <c r="I24" s="73"/>
    </row>
    <row r="25" spans="2:25" s="31" customFormat="1" x14ac:dyDescent="0.2">
      <c r="B25" s="31" t="s">
        <v>368</v>
      </c>
      <c r="G25" s="19"/>
      <c r="H25" s="19"/>
      <c r="I25" s="19"/>
    </row>
    <row r="26" spans="2:25" s="31" customFormat="1" x14ac:dyDescent="0.2">
      <c r="G26" s="19"/>
      <c r="H26" s="19"/>
      <c r="I26" s="19"/>
    </row>
    <row r="27" spans="2:25" x14ac:dyDescent="0.2">
      <c r="F27" s="82"/>
      <c r="K27" s="82"/>
      <c r="L27" t="s">
        <v>804</v>
      </c>
      <c r="P27" s="82"/>
      <c r="Q27" t="s">
        <v>806</v>
      </c>
      <c r="S27" t="s">
        <v>178</v>
      </c>
      <c r="U27" s="82"/>
      <c r="V27" t="s">
        <v>1044</v>
      </c>
    </row>
    <row r="28" spans="2:25" x14ac:dyDescent="0.2">
      <c r="B28" s="11" t="s">
        <v>152</v>
      </c>
      <c r="F28" s="82"/>
      <c r="G28" s="75" t="s">
        <v>359</v>
      </c>
      <c r="H28" s="67"/>
      <c r="I28" s="67"/>
      <c r="K28" s="82"/>
      <c r="L28" s="11" t="s">
        <v>370</v>
      </c>
      <c r="P28" s="82"/>
      <c r="Q28" s="11" t="s">
        <v>807</v>
      </c>
      <c r="U28" s="82"/>
      <c r="V28" t="s">
        <v>1045</v>
      </c>
    </row>
    <row r="29" spans="2:25" x14ac:dyDescent="0.2">
      <c r="D29" s="32" t="s">
        <v>159</v>
      </c>
      <c r="E29" s="68">
        <v>15.46</v>
      </c>
      <c r="F29" s="82"/>
      <c r="H29" s="37" t="s">
        <v>159</v>
      </c>
      <c r="I29" s="77">
        <v>15</v>
      </c>
      <c r="K29" s="82"/>
      <c r="M29" s="290" t="s">
        <v>159</v>
      </c>
      <c r="N29" s="77">
        <v>15</v>
      </c>
      <c r="P29" s="82"/>
      <c r="R29" s="290" t="s">
        <v>159</v>
      </c>
      <c r="S29" s="77">
        <v>15</v>
      </c>
      <c r="U29" s="82"/>
      <c r="X29" s="77">
        <v>15</v>
      </c>
    </row>
    <row r="30" spans="2:25" s="17" customFormat="1" ht="38.25" x14ac:dyDescent="0.2">
      <c r="B30" s="69" t="s">
        <v>130</v>
      </c>
      <c r="C30" s="69" t="s">
        <v>157</v>
      </c>
      <c r="D30" s="69" t="s">
        <v>139</v>
      </c>
      <c r="E30" s="70" t="s">
        <v>357</v>
      </c>
      <c r="F30" s="83"/>
      <c r="G30" s="70" t="s">
        <v>157</v>
      </c>
      <c r="H30" s="70" t="s">
        <v>139</v>
      </c>
      <c r="I30" s="70" t="s">
        <v>357</v>
      </c>
      <c r="K30" s="83"/>
      <c r="L30" s="70" t="s">
        <v>157</v>
      </c>
      <c r="M30" s="70" t="s">
        <v>139</v>
      </c>
      <c r="N30" s="70" t="s">
        <v>357</v>
      </c>
      <c r="O30" s="17" t="s">
        <v>373</v>
      </c>
      <c r="P30" s="83"/>
      <c r="Q30" s="70" t="s">
        <v>157</v>
      </c>
      <c r="R30" s="70" t="s">
        <v>139</v>
      </c>
      <c r="S30" s="70" t="s">
        <v>357</v>
      </c>
      <c r="T30" s="17" t="s">
        <v>373</v>
      </c>
      <c r="U30" s="83"/>
      <c r="V30" s="70" t="s">
        <v>157</v>
      </c>
      <c r="W30" s="70" t="s">
        <v>139</v>
      </c>
      <c r="X30" s="70" t="s">
        <v>357</v>
      </c>
      <c r="Y30" s="17" t="s">
        <v>373</v>
      </c>
    </row>
    <row r="31" spans="2:25" x14ac:dyDescent="0.2">
      <c r="B31" s="26" t="s">
        <v>131</v>
      </c>
      <c r="C31" s="27">
        <v>52</v>
      </c>
      <c r="D31" s="27">
        <v>7</v>
      </c>
      <c r="E31" s="86">
        <f>C31*D31*E$29</f>
        <v>5627.4400000000005</v>
      </c>
      <c r="F31" s="82"/>
      <c r="G31" s="37">
        <v>52</v>
      </c>
      <c r="H31" s="37">
        <v>7</v>
      </c>
      <c r="I31" s="37">
        <f>G31*H31*I$29</f>
        <v>5460</v>
      </c>
      <c r="K31" s="82"/>
      <c r="L31">
        <v>52</v>
      </c>
      <c r="M31">
        <v>7</v>
      </c>
      <c r="N31" s="290">
        <f>L31*M31*N$29</f>
        <v>5460</v>
      </c>
      <c r="P31" s="82"/>
      <c r="Q31">
        <v>52</v>
      </c>
      <c r="R31">
        <v>7</v>
      </c>
      <c r="S31" s="290">
        <f>Q31*R31*S$29</f>
        <v>5460</v>
      </c>
      <c r="U31" s="82"/>
      <c r="V31">
        <v>385</v>
      </c>
      <c r="W31">
        <v>1.5</v>
      </c>
      <c r="X31" s="835">
        <f>V31*W31*X$29</f>
        <v>8662.5</v>
      </c>
    </row>
    <row r="32" spans="2:25" x14ac:dyDescent="0.2">
      <c r="B32" s="26" t="s">
        <v>132</v>
      </c>
      <c r="C32" s="27">
        <v>26</v>
      </c>
      <c r="D32" s="27">
        <v>12</v>
      </c>
      <c r="E32" s="86">
        <f t="shared" ref="E32:E35" si="0">C32*D32*E$29</f>
        <v>4823.5200000000004</v>
      </c>
      <c r="F32" s="82"/>
      <c r="G32" s="37">
        <v>8</v>
      </c>
      <c r="H32" s="37">
        <v>12</v>
      </c>
      <c r="I32" s="37">
        <f t="shared" ref="I32:I34" si="1">G32*H32*I$29</f>
        <v>1440</v>
      </c>
      <c r="K32" s="82"/>
      <c r="L32">
        <v>25</v>
      </c>
      <c r="M32">
        <v>12</v>
      </c>
      <c r="N32" s="290">
        <f t="shared" ref="N32:N34" si="2">L32*M32*N$29</f>
        <v>4500</v>
      </c>
      <c r="P32" s="82"/>
      <c r="Q32">
        <v>75</v>
      </c>
      <c r="R32">
        <v>12</v>
      </c>
      <c r="S32" s="290">
        <f t="shared" ref="S32:S34" si="3">Q32*R32*S$29</f>
        <v>13500</v>
      </c>
      <c r="U32" s="82"/>
      <c r="V32">
        <v>52</v>
      </c>
      <c r="W32">
        <v>5</v>
      </c>
      <c r="X32" s="835">
        <f t="shared" ref="X32:X34" si="4">V32*W32*X$29</f>
        <v>3900</v>
      </c>
    </row>
    <row r="33" spans="2:24" x14ac:dyDescent="0.2">
      <c r="B33" s="26" t="s">
        <v>133</v>
      </c>
      <c r="C33" s="27">
        <v>52</v>
      </c>
      <c r="D33" s="27">
        <v>2</v>
      </c>
      <c r="E33" s="86">
        <f t="shared" si="0"/>
        <v>1607.8400000000001</v>
      </c>
      <c r="F33" s="82"/>
      <c r="G33" s="37">
        <v>52</v>
      </c>
      <c r="H33" s="37">
        <v>2</v>
      </c>
      <c r="I33" s="37">
        <f t="shared" si="1"/>
        <v>1560</v>
      </c>
      <c r="K33" s="82"/>
      <c r="L33">
        <v>52</v>
      </c>
      <c r="M33">
        <v>2</v>
      </c>
      <c r="N33" s="290">
        <f t="shared" si="2"/>
        <v>1560</v>
      </c>
      <c r="P33" s="82"/>
      <c r="Q33">
        <v>52</v>
      </c>
      <c r="R33">
        <v>2</v>
      </c>
      <c r="S33" s="290">
        <f t="shared" si="3"/>
        <v>1560</v>
      </c>
      <c r="U33" s="82"/>
      <c r="V33">
        <v>52</v>
      </c>
      <c r="W33">
        <v>1</v>
      </c>
      <c r="X33" s="835">
        <f t="shared" si="4"/>
        <v>780</v>
      </c>
    </row>
    <row r="34" spans="2:24" x14ac:dyDescent="0.2">
      <c r="B34" s="26" t="s">
        <v>134</v>
      </c>
      <c r="C34" s="27">
        <v>26</v>
      </c>
      <c r="D34" s="27">
        <v>3</v>
      </c>
      <c r="E34" s="86">
        <f t="shared" si="0"/>
        <v>1205.8800000000001</v>
      </c>
      <c r="F34" s="82"/>
      <c r="G34" s="37">
        <v>12</v>
      </c>
      <c r="H34" s="37">
        <v>3</v>
      </c>
      <c r="I34" s="37">
        <f t="shared" si="1"/>
        <v>540</v>
      </c>
      <c r="K34" s="82"/>
      <c r="L34">
        <v>26</v>
      </c>
      <c r="M34">
        <v>3</v>
      </c>
      <c r="N34" s="290">
        <f t="shared" si="2"/>
        <v>1170</v>
      </c>
      <c r="P34" s="82"/>
      <c r="Q34">
        <v>50</v>
      </c>
      <c r="R34">
        <v>3</v>
      </c>
      <c r="S34" s="290">
        <f t="shared" si="3"/>
        <v>2250</v>
      </c>
      <c r="U34" s="82"/>
      <c r="V34">
        <v>52</v>
      </c>
      <c r="W34">
        <v>1</v>
      </c>
      <c r="X34" s="835">
        <f t="shared" si="4"/>
        <v>780</v>
      </c>
    </row>
    <row r="35" spans="2:24" x14ac:dyDescent="0.2">
      <c r="B35" s="26" t="s">
        <v>135</v>
      </c>
      <c r="C35" s="27">
        <v>52</v>
      </c>
      <c r="D35" s="27">
        <v>10</v>
      </c>
      <c r="E35" s="86">
        <f t="shared" si="0"/>
        <v>8039.2000000000007</v>
      </c>
      <c r="F35" s="82"/>
      <c r="H35" s="27"/>
      <c r="I35" s="86"/>
      <c r="K35" s="82"/>
      <c r="P35" s="82"/>
      <c r="U35" s="82"/>
    </row>
    <row r="36" spans="2:24" x14ac:dyDescent="0.2">
      <c r="B36" s="26"/>
      <c r="C36" s="27"/>
      <c r="D36" s="27"/>
      <c r="E36" s="19"/>
      <c r="F36" s="82"/>
      <c r="K36" s="82"/>
      <c r="P36" s="82"/>
      <c r="U36" s="82"/>
    </row>
    <row r="37" spans="2:24" x14ac:dyDescent="0.2">
      <c r="B37" s="11" t="s">
        <v>136</v>
      </c>
      <c r="C37" s="27"/>
      <c r="D37" s="27"/>
      <c r="E37" s="31"/>
      <c r="F37" s="82"/>
      <c r="K37" s="82"/>
      <c r="P37" s="82"/>
      <c r="U37" s="82"/>
    </row>
    <row r="38" spans="2:24" x14ac:dyDescent="0.2">
      <c r="B38" s="26" t="s">
        <v>137</v>
      </c>
      <c r="C38" s="27">
        <v>52</v>
      </c>
      <c r="D38" s="27">
        <v>0.5</v>
      </c>
      <c r="E38" s="86">
        <f t="shared" ref="E38:E39" si="5">C38*D38*E$29</f>
        <v>401.96000000000004</v>
      </c>
      <c r="F38" s="82"/>
      <c r="G38" s="37">
        <v>52</v>
      </c>
      <c r="H38" s="37">
        <v>0.5</v>
      </c>
      <c r="I38" s="37">
        <f t="shared" ref="I38:I39" si="6">G38*H38*I$29</f>
        <v>390</v>
      </c>
      <c r="K38" s="82"/>
      <c r="L38">
        <v>52</v>
      </c>
      <c r="M38">
        <v>0.5</v>
      </c>
      <c r="N38" s="290">
        <f t="shared" ref="N38:N39" si="7">L38*M38*N$29</f>
        <v>390</v>
      </c>
      <c r="P38" s="82"/>
      <c r="Q38">
        <v>52</v>
      </c>
      <c r="R38">
        <v>0.5</v>
      </c>
      <c r="S38" s="290">
        <f t="shared" ref="S38:S39" si="8">Q38*R38*S$29</f>
        <v>390</v>
      </c>
      <c r="U38" s="82"/>
      <c r="V38">
        <v>52</v>
      </c>
      <c r="W38">
        <v>2.5</v>
      </c>
      <c r="X38" s="835">
        <f t="shared" ref="X38:X39" si="9">V38*W38*X$29</f>
        <v>1950</v>
      </c>
    </row>
    <row r="39" spans="2:24" x14ac:dyDescent="0.2">
      <c r="B39" s="26" t="s">
        <v>138</v>
      </c>
      <c r="C39" s="27">
        <v>52</v>
      </c>
      <c r="D39" s="27">
        <v>1</v>
      </c>
      <c r="E39" s="86">
        <f t="shared" si="5"/>
        <v>803.92000000000007</v>
      </c>
      <c r="F39" s="84"/>
      <c r="G39" s="37">
        <v>52</v>
      </c>
      <c r="H39" s="37">
        <v>1</v>
      </c>
      <c r="I39" s="37">
        <f t="shared" si="6"/>
        <v>780</v>
      </c>
      <c r="K39" s="82"/>
      <c r="L39">
        <v>52</v>
      </c>
      <c r="M39">
        <v>1</v>
      </c>
      <c r="N39" s="290">
        <f t="shared" si="7"/>
        <v>780</v>
      </c>
      <c r="O39" t="s">
        <v>803</v>
      </c>
      <c r="P39" s="82"/>
      <c r="Q39">
        <v>52</v>
      </c>
      <c r="R39">
        <v>1</v>
      </c>
      <c r="S39" s="290">
        <f t="shared" si="8"/>
        <v>780</v>
      </c>
      <c r="T39" t="s">
        <v>803</v>
      </c>
      <c r="U39" s="82"/>
      <c r="V39">
        <v>52</v>
      </c>
      <c r="W39">
        <v>1</v>
      </c>
      <c r="X39" s="835">
        <f t="shared" si="9"/>
        <v>780</v>
      </c>
    </row>
    <row r="40" spans="2:24" x14ac:dyDescent="0.2">
      <c r="B40" s="90" t="s">
        <v>369</v>
      </c>
      <c r="C40" s="27"/>
      <c r="D40" s="91">
        <f>SUM(E31:E39)/E29</f>
        <v>1456</v>
      </c>
      <c r="F40" s="84"/>
      <c r="H40" s="91">
        <f>SUM(I31:I39)/I29</f>
        <v>678</v>
      </c>
      <c r="K40" s="82"/>
      <c r="M40" s="91">
        <f>SUM(N31:N39)/N29</f>
        <v>924</v>
      </c>
      <c r="P40" s="82"/>
      <c r="R40" s="91">
        <f>SUM(S31:S39)/S29</f>
        <v>1596</v>
      </c>
      <c r="U40" s="82"/>
      <c r="W40" s="91">
        <f>SUM(X31:X39)/X29</f>
        <v>1123.5</v>
      </c>
    </row>
    <row r="41" spans="2:24" x14ac:dyDescent="0.2">
      <c r="B41" s="26"/>
      <c r="C41" s="27"/>
      <c r="D41" s="27"/>
      <c r="E41" s="86"/>
      <c r="F41" s="84"/>
      <c r="K41" s="82"/>
      <c r="P41" s="82"/>
      <c r="S41" s="11">
        <f>SUM(S31:S39)</f>
        <v>23940</v>
      </c>
      <c r="U41" s="82"/>
      <c r="X41" s="11">
        <f>SUM(X31:X39)</f>
        <v>16852.5</v>
      </c>
    </row>
    <row r="42" spans="2:24" x14ac:dyDescent="0.2">
      <c r="E42" s="31"/>
      <c r="F42" s="82"/>
      <c r="K42" s="82"/>
      <c r="P42" s="82"/>
      <c r="U42" s="82"/>
    </row>
    <row r="43" spans="2:24" s="17" customFormat="1" ht="38.25" x14ac:dyDescent="0.2">
      <c r="B43" s="69" t="s">
        <v>153</v>
      </c>
      <c r="D43" s="17" t="s">
        <v>361</v>
      </c>
      <c r="E43" s="87" t="s">
        <v>151</v>
      </c>
      <c r="F43" s="83"/>
      <c r="G43" s="74"/>
      <c r="H43" s="74" t="s">
        <v>361</v>
      </c>
      <c r="I43" s="74" t="s">
        <v>151</v>
      </c>
      <c r="K43" s="83"/>
      <c r="M43" s="74" t="s">
        <v>361</v>
      </c>
      <c r="N43" s="74" t="s">
        <v>151</v>
      </c>
      <c r="P43" s="83"/>
      <c r="R43" s="74" t="s">
        <v>361</v>
      </c>
      <c r="S43" s="74" t="s">
        <v>151</v>
      </c>
      <c r="U43" s="83"/>
      <c r="W43" s="74" t="s">
        <v>361</v>
      </c>
      <c r="X43" s="74" t="s">
        <v>151</v>
      </c>
    </row>
    <row r="44" spans="2:24" x14ac:dyDescent="0.2">
      <c r="B44" t="s">
        <v>145</v>
      </c>
      <c r="C44" s="37">
        <v>131328</v>
      </c>
      <c r="D44" s="37">
        <v>10.4</v>
      </c>
      <c r="E44" s="86">
        <f>C44*D44/100</f>
        <v>13658.111999999999</v>
      </c>
      <c r="F44" s="82"/>
      <c r="G44" s="37">
        <v>88800</v>
      </c>
      <c r="H44" s="37">
        <v>12.8</v>
      </c>
      <c r="I44" s="28">
        <f>G44*H44/100</f>
        <v>11366.4</v>
      </c>
      <c r="K44" s="82"/>
      <c r="L44">
        <v>215000</v>
      </c>
      <c r="M44">
        <v>12.8</v>
      </c>
      <c r="N44" s="28">
        <f>L44*M44/100</f>
        <v>27520</v>
      </c>
      <c r="P44" s="82"/>
      <c r="Q44">
        <v>270000</v>
      </c>
      <c r="R44">
        <v>12.8</v>
      </c>
      <c r="S44" s="28">
        <f>Q44*R44/100</f>
        <v>34560</v>
      </c>
      <c r="U44" s="82"/>
      <c r="V44">
        <v>200000</v>
      </c>
      <c r="W44">
        <v>12.8</v>
      </c>
      <c r="X44" s="28">
        <f>V44*W44/100</f>
        <v>25600</v>
      </c>
    </row>
    <row r="45" spans="2:24" x14ac:dyDescent="0.2">
      <c r="B45" t="s">
        <v>146</v>
      </c>
      <c r="C45" s="37">
        <v>12750</v>
      </c>
      <c r="D45" s="37">
        <v>10</v>
      </c>
      <c r="E45" s="86">
        <f t="shared" ref="E45:E46" si="10">C45*D45/100</f>
        <v>1275</v>
      </c>
      <c r="F45" s="82"/>
      <c r="G45" s="37">
        <v>12750</v>
      </c>
      <c r="H45" s="290">
        <v>12.8</v>
      </c>
      <c r="I45" s="28">
        <f t="shared" ref="I45:I47" si="11">G45*H45/100</f>
        <v>1632</v>
      </c>
      <c r="K45" s="82"/>
      <c r="L45">
        <v>90000</v>
      </c>
      <c r="M45">
        <v>12.8</v>
      </c>
      <c r="N45" s="28">
        <f t="shared" ref="N45:N47" si="12">L45*M45/100</f>
        <v>11520</v>
      </c>
      <c r="P45" s="82"/>
      <c r="Q45">
        <v>27000</v>
      </c>
      <c r="R45">
        <v>12.8</v>
      </c>
      <c r="S45" s="28">
        <f t="shared" ref="S45:S47" si="13">Q45*R45/100</f>
        <v>3456</v>
      </c>
      <c r="U45" s="82"/>
      <c r="V45">
        <v>100000</v>
      </c>
      <c r="W45">
        <v>12.8</v>
      </c>
      <c r="X45" s="28">
        <f t="shared" ref="X45:X48" si="14">V45*W45/100</f>
        <v>12800</v>
      </c>
    </row>
    <row r="46" spans="2:24" x14ac:dyDescent="0.2">
      <c r="B46" t="s">
        <v>147</v>
      </c>
      <c r="C46" s="37">
        <v>9500</v>
      </c>
      <c r="D46" s="37">
        <v>10</v>
      </c>
      <c r="E46" s="86">
        <f t="shared" si="10"/>
        <v>950</v>
      </c>
      <c r="F46" s="82"/>
      <c r="G46" s="37">
        <v>9500</v>
      </c>
      <c r="H46" s="290">
        <v>12.8</v>
      </c>
      <c r="I46" s="28">
        <f t="shared" si="11"/>
        <v>1216</v>
      </c>
      <c r="K46" s="82"/>
      <c r="L46">
        <v>10000</v>
      </c>
      <c r="M46">
        <v>12.8</v>
      </c>
      <c r="N46" s="28">
        <f t="shared" si="12"/>
        <v>1280</v>
      </c>
      <c r="P46" s="82"/>
      <c r="Q46">
        <v>21600</v>
      </c>
      <c r="R46">
        <v>12.8</v>
      </c>
      <c r="S46" s="28">
        <f t="shared" si="13"/>
        <v>2764.8</v>
      </c>
      <c r="U46" s="82"/>
      <c r="V46">
        <v>5000</v>
      </c>
      <c r="W46">
        <v>12.8</v>
      </c>
      <c r="X46" s="28">
        <f t="shared" si="14"/>
        <v>640</v>
      </c>
    </row>
    <row r="47" spans="2:24" x14ac:dyDescent="0.2">
      <c r="B47" t="s">
        <v>158</v>
      </c>
      <c r="C47" s="37">
        <v>6000</v>
      </c>
      <c r="D47" s="37">
        <v>10</v>
      </c>
      <c r="E47" s="86">
        <f>C47*D47/100</f>
        <v>600</v>
      </c>
      <c r="F47" s="82"/>
      <c r="G47" s="37">
        <v>6000</v>
      </c>
      <c r="H47" s="290">
        <v>12.8</v>
      </c>
      <c r="I47" s="28">
        <f t="shared" si="11"/>
        <v>768</v>
      </c>
      <c r="K47" s="82"/>
      <c r="L47">
        <v>15000</v>
      </c>
      <c r="M47">
        <v>12.8</v>
      </c>
      <c r="N47" s="28">
        <f t="shared" si="12"/>
        <v>1920</v>
      </c>
      <c r="P47" s="82"/>
      <c r="Q47">
        <v>15000</v>
      </c>
      <c r="R47">
        <v>12.8</v>
      </c>
      <c r="S47" s="28">
        <f t="shared" si="13"/>
        <v>1920</v>
      </c>
      <c r="U47" s="82"/>
      <c r="V47">
        <v>15000</v>
      </c>
      <c r="W47">
        <v>12.8</v>
      </c>
      <c r="X47" s="28">
        <f t="shared" si="14"/>
        <v>1920</v>
      </c>
    </row>
    <row r="48" spans="2:24" x14ac:dyDescent="0.2">
      <c r="B48" t="s">
        <v>374</v>
      </c>
      <c r="C48" s="37"/>
      <c r="D48" s="37"/>
      <c r="E48" s="86"/>
      <c r="F48" s="82"/>
      <c r="I48" s="28"/>
      <c r="K48" s="82"/>
      <c r="P48" s="82"/>
      <c r="U48" s="82"/>
      <c r="V48">
        <v>3000</v>
      </c>
      <c r="W48">
        <v>100</v>
      </c>
      <c r="X48" s="28">
        <f t="shared" si="14"/>
        <v>3000</v>
      </c>
    </row>
    <row r="49" spans="2:24" x14ac:dyDescent="0.2">
      <c r="E49" s="31"/>
      <c r="F49" s="82"/>
      <c r="K49" s="82"/>
      <c r="P49" s="82"/>
      <c r="S49" s="291">
        <f>SUM(S44:S47)</f>
        <v>42700.800000000003</v>
      </c>
      <c r="U49" s="82"/>
      <c r="X49" s="291">
        <f>SUM(X44:X48)</f>
        <v>43960</v>
      </c>
    </row>
    <row r="50" spans="2:24" s="17" customFormat="1" ht="25.5" x14ac:dyDescent="0.2">
      <c r="B50" s="69" t="s">
        <v>366</v>
      </c>
      <c r="C50" s="74" t="s">
        <v>143</v>
      </c>
      <c r="D50" s="74" t="s">
        <v>144</v>
      </c>
      <c r="E50" s="87" t="s">
        <v>151</v>
      </c>
      <c r="F50" s="83"/>
      <c r="G50" s="74" t="s">
        <v>143</v>
      </c>
      <c r="H50" s="74" t="s">
        <v>144</v>
      </c>
      <c r="I50" s="17" t="s">
        <v>151</v>
      </c>
      <c r="K50" s="83"/>
      <c r="P50" s="83"/>
      <c r="U50" s="83"/>
    </row>
    <row r="51" spans="2:24" x14ac:dyDescent="0.2">
      <c r="B51" t="s">
        <v>367</v>
      </c>
      <c r="C51" s="37">
        <v>1</v>
      </c>
      <c r="D51" s="37">
        <v>500</v>
      </c>
      <c r="E51" s="88">
        <f>C51*D51</f>
        <v>500</v>
      </c>
      <c r="F51" s="82"/>
      <c r="G51" s="37">
        <v>3600</v>
      </c>
      <c r="H51" s="37">
        <v>0.5</v>
      </c>
      <c r="I51" s="37">
        <f t="shared" ref="I51:I56" si="15">G51*H51</f>
        <v>1800</v>
      </c>
      <c r="K51" s="82"/>
      <c r="L51">
        <v>8578</v>
      </c>
      <c r="M51">
        <v>0.3</v>
      </c>
      <c r="N51">
        <f>L51*M51</f>
        <v>2573.4</v>
      </c>
      <c r="P51" s="82"/>
      <c r="Q51">
        <v>8578</v>
      </c>
      <c r="R51">
        <v>0.5</v>
      </c>
      <c r="S51">
        <f>Q51*R51</f>
        <v>4289</v>
      </c>
      <c r="U51" s="82"/>
      <c r="V51">
        <f>6*365</f>
        <v>2190</v>
      </c>
      <c r="W51">
        <v>0.1</v>
      </c>
      <c r="X51">
        <f>V51*W51</f>
        <v>219</v>
      </c>
    </row>
    <row r="52" spans="2:24" x14ac:dyDescent="0.2">
      <c r="B52" t="s">
        <v>141</v>
      </c>
      <c r="C52" s="23">
        <v>43274</v>
      </c>
      <c r="D52" s="37">
        <v>0.2</v>
      </c>
      <c r="E52" s="89">
        <f t="shared" ref="E52:E56" si="16">C52*D52</f>
        <v>8654.8000000000011</v>
      </c>
      <c r="F52" s="82"/>
      <c r="G52" s="37">
        <v>36582</v>
      </c>
      <c r="H52" s="37">
        <v>0.18</v>
      </c>
      <c r="I52" s="28">
        <f t="shared" si="15"/>
        <v>6584.7599999999993</v>
      </c>
      <c r="K52" s="82"/>
      <c r="L52">
        <v>39420</v>
      </c>
      <c r="M52">
        <v>0.18</v>
      </c>
      <c r="N52">
        <f t="shared" ref="N52:N59" si="17">L52*M52</f>
        <v>7095.5999999999995</v>
      </c>
      <c r="P52" s="82"/>
      <c r="Q52">
        <v>65700</v>
      </c>
      <c r="R52">
        <v>0.18</v>
      </c>
      <c r="S52">
        <f t="shared" ref="S52:S59" si="18">Q52*R52</f>
        <v>11826</v>
      </c>
      <c r="U52" s="82"/>
      <c r="V52">
        <v>80000</v>
      </c>
      <c r="W52">
        <v>0.21</v>
      </c>
      <c r="X52">
        <f t="shared" ref="X52:X59" si="19">V52*W52</f>
        <v>16800</v>
      </c>
    </row>
    <row r="53" spans="2:24" x14ac:dyDescent="0.2">
      <c r="B53" t="s">
        <v>142</v>
      </c>
      <c r="C53" s="23">
        <v>52</v>
      </c>
      <c r="D53" s="37">
        <v>4</v>
      </c>
      <c r="E53" s="88">
        <f t="shared" si="16"/>
        <v>208</v>
      </c>
      <c r="F53" s="82"/>
      <c r="G53" s="37">
        <v>52</v>
      </c>
      <c r="H53" s="37">
        <v>15</v>
      </c>
      <c r="I53" s="37">
        <f t="shared" si="15"/>
        <v>780</v>
      </c>
      <c r="K53" s="82"/>
      <c r="L53">
        <v>52</v>
      </c>
      <c r="M53">
        <v>15</v>
      </c>
      <c r="N53">
        <f t="shared" si="17"/>
        <v>780</v>
      </c>
      <c r="P53" s="82"/>
      <c r="Q53">
        <v>52</v>
      </c>
      <c r="R53">
        <v>15</v>
      </c>
      <c r="S53">
        <f t="shared" si="18"/>
        <v>780</v>
      </c>
      <c r="U53" s="82"/>
      <c r="V53">
        <v>52</v>
      </c>
      <c r="W53">
        <v>15</v>
      </c>
      <c r="X53">
        <f t="shared" si="19"/>
        <v>780</v>
      </c>
    </row>
    <row r="54" spans="2:24" x14ac:dyDescent="0.2">
      <c r="B54" t="s">
        <v>148</v>
      </c>
      <c r="C54" s="23">
        <v>12</v>
      </c>
      <c r="D54" s="37">
        <v>100</v>
      </c>
      <c r="E54" s="88">
        <f t="shared" si="16"/>
        <v>1200</v>
      </c>
      <c r="F54" s="82"/>
      <c r="G54" s="37">
        <v>6</v>
      </c>
      <c r="H54" s="37">
        <v>100</v>
      </c>
      <c r="I54" s="37">
        <f t="shared" si="15"/>
        <v>600</v>
      </c>
      <c r="K54" s="82"/>
      <c r="L54">
        <v>6</v>
      </c>
      <c r="M54">
        <v>100</v>
      </c>
      <c r="N54">
        <f t="shared" si="17"/>
        <v>600</v>
      </c>
      <c r="P54" s="82"/>
      <c r="Q54">
        <v>12</v>
      </c>
      <c r="R54">
        <v>100</v>
      </c>
      <c r="S54">
        <f t="shared" si="18"/>
        <v>1200</v>
      </c>
      <c r="U54" s="82"/>
      <c r="V54">
        <v>3</v>
      </c>
      <c r="W54">
        <v>100</v>
      </c>
      <c r="X54">
        <f t="shared" si="19"/>
        <v>300</v>
      </c>
    </row>
    <row r="55" spans="2:24" x14ac:dyDescent="0.2">
      <c r="B55" t="s">
        <v>149</v>
      </c>
      <c r="C55" s="23">
        <v>40000</v>
      </c>
      <c r="D55" s="37">
        <v>0.01</v>
      </c>
      <c r="E55" s="88">
        <f t="shared" si="16"/>
        <v>400</v>
      </c>
      <c r="F55" s="82"/>
      <c r="G55" s="37">
        <v>30000</v>
      </c>
      <c r="H55" s="37">
        <v>0.06</v>
      </c>
      <c r="I55" s="37">
        <f t="shared" si="15"/>
        <v>1800</v>
      </c>
      <c r="K55" s="82"/>
      <c r="L55">
        <v>80000</v>
      </c>
      <c r="M55">
        <v>0.05</v>
      </c>
      <c r="N55">
        <f t="shared" si="17"/>
        <v>4000</v>
      </c>
      <c r="P55" s="82"/>
      <c r="Q55">
        <v>80000</v>
      </c>
      <c r="R55">
        <v>0.06</v>
      </c>
      <c r="S55">
        <f t="shared" si="18"/>
        <v>4800</v>
      </c>
      <c r="U55" s="82"/>
      <c r="V55">
        <v>40000</v>
      </c>
      <c r="W55">
        <v>0.1</v>
      </c>
      <c r="X55">
        <f t="shared" si="19"/>
        <v>4000</v>
      </c>
    </row>
    <row r="56" spans="2:24" x14ac:dyDescent="0.2">
      <c r="B56" t="s">
        <v>150</v>
      </c>
      <c r="C56" s="23">
        <v>1</v>
      </c>
      <c r="D56" s="37">
        <v>500</v>
      </c>
      <c r="E56" s="88">
        <f t="shared" si="16"/>
        <v>500</v>
      </c>
      <c r="F56" s="82"/>
      <c r="G56" s="37">
        <v>1</v>
      </c>
      <c r="H56" s="37">
        <v>500</v>
      </c>
      <c r="I56" s="37">
        <f t="shared" si="15"/>
        <v>500</v>
      </c>
      <c r="K56" s="82"/>
      <c r="L56">
        <v>1</v>
      </c>
      <c r="M56">
        <v>500</v>
      </c>
      <c r="N56">
        <f t="shared" si="17"/>
        <v>500</v>
      </c>
      <c r="P56" s="82"/>
      <c r="Q56">
        <v>1</v>
      </c>
      <c r="R56">
        <v>500</v>
      </c>
      <c r="S56">
        <f t="shared" si="18"/>
        <v>500</v>
      </c>
      <c r="U56" s="82"/>
      <c r="V56">
        <v>1</v>
      </c>
      <c r="W56">
        <v>500</v>
      </c>
      <c r="X56">
        <f t="shared" si="19"/>
        <v>500</v>
      </c>
    </row>
    <row r="57" spans="2:24" x14ac:dyDescent="0.2">
      <c r="B57" s="2" t="s">
        <v>372</v>
      </c>
      <c r="C57" s="23"/>
      <c r="D57" s="37"/>
      <c r="E57" s="88"/>
      <c r="F57" s="82"/>
      <c r="I57" s="37">
        <v>350</v>
      </c>
      <c r="K57" s="82"/>
      <c r="L57">
        <v>1</v>
      </c>
      <c r="M57">
        <v>3450</v>
      </c>
      <c r="N57">
        <f t="shared" si="17"/>
        <v>3450</v>
      </c>
      <c r="P57" s="82"/>
      <c r="Q57">
        <v>1</v>
      </c>
      <c r="R57">
        <v>3450</v>
      </c>
      <c r="S57">
        <f t="shared" si="18"/>
        <v>3450</v>
      </c>
      <c r="U57" s="82"/>
      <c r="V57">
        <v>1000</v>
      </c>
      <c r="W57">
        <v>1</v>
      </c>
      <c r="X57">
        <f t="shared" si="19"/>
        <v>1000</v>
      </c>
    </row>
    <row r="58" spans="2:24" x14ac:dyDescent="0.2">
      <c r="B58" s="2" t="s">
        <v>371</v>
      </c>
      <c r="C58" s="23"/>
      <c r="D58" s="37"/>
      <c r="E58" s="88"/>
      <c r="F58" s="82"/>
      <c r="K58" s="82"/>
      <c r="L58">
        <v>8760</v>
      </c>
      <c r="M58">
        <v>1</v>
      </c>
      <c r="N58">
        <f t="shared" si="17"/>
        <v>8760</v>
      </c>
      <c r="P58" s="82"/>
      <c r="Q58">
        <f>3*L58</f>
        <v>26280</v>
      </c>
      <c r="R58">
        <v>1</v>
      </c>
      <c r="S58">
        <f t="shared" si="18"/>
        <v>26280</v>
      </c>
      <c r="U58" s="82"/>
      <c r="V58">
        <v>12000</v>
      </c>
      <c r="W58">
        <v>0.3</v>
      </c>
      <c r="X58">
        <f t="shared" si="19"/>
        <v>3600</v>
      </c>
    </row>
    <row r="59" spans="2:24" x14ac:dyDescent="0.2">
      <c r="B59" s="2" t="s">
        <v>376</v>
      </c>
      <c r="C59" s="23"/>
      <c r="D59" s="37"/>
      <c r="E59" s="88"/>
      <c r="F59" s="82"/>
      <c r="G59" s="37">
        <v>11</v>
      </c>
      <c r="H59" s="37">
        <v>200</v>
      </c>
      <c r="K59" s="82"/>
      <c r="L59">
        <v>11</v>
      </c>
      <c r="M59">
        <v>300</v>
      </c>
      <c r="N59">
        <f t="shared" si="17"/>
        <v>3300</v>
      </c>
      <c r="P59" s="82"/>
      <c r="Q59">
        <v>11</v>
      </c>
      <c r="R59">
        <v>300</v>
      </c>
      <c r="S59">
        <f t="shared" si="18"/>
        <v>3300</v>
      </c>
      <c r="U59" s="82"/>
      <c r="V59">
        <v>1000</v>
      </c>
      <c r="W59">
        <v>1</v>
      </c>
      <c r="X59">
        <f t="shared" si="19"/>
        <v>1000</v>
      </c>
    </row>
    <row r="60" spans="2:24" x14ac:dyDescent="0.2">
      <c r="E60" s="31"/>
      <c r="F60" s="82"/>
      <c r="G60"/>
      <c r="H60"/>
      <c r="K60" s="82"/>
      <c r="P60" s="82"/>
      <c r="S60" s="11">
        <f>SUM(S51:S59)</f>
        <v>56425</v>
      </c>
      <c r="U60" s="82"/>
      <c r="X60" s="11">
        <f>SUM(X51:X59)</f>
        <v>28199</v>
      </c>
    </row>
    <row r="61" spans="2:24" x14ac:dyDescent="0.2">
      <c r="B61" s="11" t="s">
        <v>154</v>
      </c>
      <c r="E61" s="31"/>
      <c r="F61" s="82"/>
      <c r="K61" s="82"/>
      <c r="P61" s="82"/>
      <c r="U61" s="82"/>
    </row>
    <row r="62" spans="2:24" x14ac:dyDescent="0.2">
      <c r="B62" t="s">
        <v>155</v>
      </c>
      <c r="C62" s="23">
        <v>13700</v>
      </c>
      <c r="D62" s="37">
        <v>0.5</v>
      </c>
      <c r="E62" s="88">
        <f t="shared" ref="E62:E68" si="20">C62*D62</f>
        <v>6850</v>
      </c>
      <c r="F62" s="82"/>
      <c r="G62" s="37">
        <v>6600</v>
      </c>
      <c r="H62" s="37">
        <v>1.5</v>
      </c>
      <c r="I62" s="37">
        <f>G62*H62</f>
        <v>9900</v>
      </c>
      <c r="K62" s="82"/>
      <c r="L62">
        <v>11000</v>
      </c>
      <c r="M62">
        <v>2.5</v>
      </c>
      <c r="N62">
        <f>L62*M62</f>
        <v>27500</v>
      </c>
      <c r="P62" s="82"/>
      <c r="Q62">
        <v>35000</v>
      </c>
      <c r="R62">
        <v>2.5</v>
      </c>
      <c r="S62">
        <f>Q62*R62</f>
        <v>87500</v>
      </c>
      <c r="U62" s="82"/>
      <c r="V62">
        <v>13000</v>
      </c>
      <c r="W62">
        <v>2.5</v>
      </c>
      <c r="X62">
        <f t="shared" ref="X62:X64" si="21">V62*W62</f>
        <v>32500</v>
      </c>
    </row>
    <row r="63" spans="2:24" x14ac:dyDescent="0.2">
      <c r="B63" t="s">
        <v>156</v>
      </c>
      <c r="C63" s="23">
        <v>12</v>
      </c>
      <c r="D63" s="37">
        <v>100</v>
      </c>
      <c r="E63" s="88">
        <f t="shared" si="20"/>
        <v>1200</v>
      </c>
      <c r="F63" s="82"/>
      <c r="G63" s="37">
        <v>12</v>
      </c>
      <c r="H63" s="37">
        <v>100</v>
      </c>
      <c r="I63" s="37">
        <f>G63*H63</f>
        <v>1200</v>
      </c>
      <c r="K63" s="82"/>
      <c r="P63" s="82"/>
      <c r="Q63">
        <v>12</v>
      </c>
      <c r="R63">
        <v>100</v>
      </c>
      <c r="S63">
        <f>Q63*R63</f>
        <v>1200</v>
      </c>
      <c r="U63" s="82"/>
    </row>
    <row r="64" spans="2:24" x14ac:dyDescent="0.2">
      <c r="B64" t="s">
        <v>375</v>
      </c>
      <c r="C64" s="23">
        <v>15800</v>
      </c>
      <c r="D64" s="37">
        <v>2.1</v>
      </c>
      <c r="E64" s="88">
        <f t="shared" si="20"/>
        <v>33180</v>
      </c>
      <c r="F64" s="82"/>
      <c r="G64" s="37">
        <f>3000*1.6</f>
        <v>4800</v>
      </c>
      <c r="H64" s="37">
        <v>2.1</v>
      </c>
      <c r="I64" s="37">
        <f>G64*H64</f>
        <v>10080</v>
      </c>
      <c r="K64" s="82"/>
      <c r="L64">
        <v>13000</v>
      </c>
      <c r="M64">
        <v>3</v>
      </c>
      <c r="N64">
        <f>L64*M64</f>
        <v>39000</v>
      </c>
      <c r="P64" s="82"/>
      <c r="Q64">
        <f>3*L64</f>
        <v>39000</v>
      </c>
      <c r="R64">
        <v>3</v>
      </c>
      <c r="S64">
        <f>Q64*R64</f>
        <v>117000</v>
      </c>
      <c r="U64" s="82"/>
      <c r="V64">
        <v>11000</v>
      </c>
      <c r="W64">
        <v>2</v>
      </c>
      <c r="X64">
        <f t="shared" si="21"/>
        <v>22000</v>
      </c>
    </row>
    <row r="65" spans="2:24" x14ac:dyDescent="0.2">
      <c r="E65" s="31"/>
      <c r="F65" s="82"/>
      <c r="K65" s="82"/>
      <c r="P65" s="82"/>
      <c r="U65" s="82"/>
    </row>
    <row r="66" spans="2:24" x14ac:dyDescent="0.2">
      <c r="B66" t="s">
        <v>162</v>
      </c>
      <c r="C66" s="37">
        <v>9630</v>
      </c>
      <c r="D66" s="37">
        <v>6</v>
      </c>
      <c r="E66" s="88">
        <f t="shared" si="20"/>
        <v>57780</v>
      </c>
      <c r="F66" s="82"/>
      <c r="K66" s="82"/>
      <c r="P66" s="82"/>
      <c r="U66" s="82"/>
    </row>
    <row r="67" spans="2:24" x14ac:dyDescent="0.2">
      <c r="B67" t="s">
        <v>160</v>
      </c>
      <c r="C67" s="37">
        <v>1</v>
      </c>
      <c r="D67" s="37">
        <v>616</v>
      </c>
      <c r="E67" s="88">
        <f t="shared" si="20"/>
        <v>616</v>
      </c>
      <c r="F67" s="82"/>
      <c r="I67" s="37">
        <v>200</v>
      </c>
      <c r="K67" s="82"/>
      <c r="P67" s="82"/>
      <c r="U67" s="82"/>
    </row>
    <row r="68" spans="2:24" x14ac:dyDescent="0.2">
      <c r="B68" t="s">
        <v>161</v>
      </c>
      <c r="C68" s="37">
        <v>6550</v>
      </c>
      <c r="D68" s="37">
        <v>0.5</v>
      </c>
      <c r="E68" s="23">
        <f t="shared" si="20"/>
        <v>3275</v>
      </c>
      <c r="F68" s="82"/>
      <c r="K68" s="82"/>
      <c r="P68" s="82"/>
      <c r="U68" s="82"/>
    </row>
    <row r="69" spans="2:24" x14ac:dyDescent="0.2">
      <c r="C69" s="37"/>
      <c r="D69" s="37"/>
      <c r="E69" s="23"/>
      <c r="F69" s="82"/>
      <c r="K69" s="82"/>
      <c r="P69" s="82"/>
      <c r="U69" s="82"/>
    </row>
    <row r="70" spans="2:24" x14ac:dyDescent="0.2">
      <c r="B70" s="35" t="s">
        <v>362</v>
      </c>
      <c r="C70" s="36"/>
      <c r="D70" s="36"/>
      <c r="E70" s="79"/>
      <c r="F70" s="82"/>
      <c r="G70" s="36"/>
      <c r="H70" s="36"/>
      <c r="I70" s="36"/>
      <c r="K70" s="82"/>
      <c r="P70" s="82"/>
      <c r="U70" s="82"/>
    </row>
    <row r="71" spans="2:24" x14ac:dyDescent="0.2">
      <c r="B71" s="80" t="s">
        <v>358</v>
      </c>
      <c r="C71" s="36"/>
      <c r="D71" s="36"/>
      <c r="E71" s="81">
        <f>SUM(E44:E48)</f>
        <v>16483.112000000001</v>
      </c>
      <c r="F71" s="82"/>
      <c r="G71" s="36"/>
      <c r="H71" s="36"/>
      <c r="I71" s="81">
        <f>SUM(I44:I48)</f>
        <v>14982.4</v>
      </c>
      <c r="K71" s="82"/>
      <c r="N71" s="81">
        <f>SUM(N44:N48)</f>
        <v>42240</v>
      </c>
      <c r="P71" s="82"/>
      <c r="S71" s="81">
        <f>SUM(S44:S48)</f>
        <v>42700.800000000003</v>
      </c>
      <c r="U71" s="82"/>
      <c r="X71" s="81">
        <f>SUM(X44:X48)</f>
        <v>43960</v>
      </c>
    </row>
    <row r="72" spans="2:24" x14ac:dyDescent="0.2">
      <c r="B72" s="80" t="s">
        <v>363</v>
      </c>
      <c r="C72" s="36"/>
      <c r="D72" s="36"/>
      <c r="E72" s="81">
        <f>SUM(E51:E59)</f>
        <v>11462.800000000001</v>
      </c>
      <c r="F72" s="82"/>
      <c r="G72" s="36"/>
      <c r="H72" s="36"/>
      <c r="I72" s="81">
        <f>SUM(I51:I59)</f>
        <v>12414.759999999998</v>
      </c>
      <c r="K72" s="82"/>
      <c r="N72" s="81">
        <f>SUM(N51:N59)</f>
        <v>31059</v>
      </c>
      <c r="P72" s="82"/>
      <c r="S72" s="81">
        <f>SUM(S51:S59)</f>
        <v>56425</v>
      </c>
      <c r="U72" s="82"/>
      <c r="X72" s="81">
        <f>SUM(X51:X59)</f>
        <v>28199</v>
      </c>
    </row>
    <row r="73" spans="2:24" x14ac:dyDescent="0.2">
      <c r="B73" s="80" t="s">
        <v>154</v>
      </c>
      <c r="C73" s="36"/>
      <c r="D73" s="36"/>
      <c r="E73" s="36">
        <f>SUM(E62:E64)+E67</f>
        <v>41846</v>
      </c>
      <c r="F73" s="82"/>
      <c r="G73" s="36"/>
      <c r="H73" s="36"/>
      <c r="I73" s="36">
        <f>SUM(I62:I64)+I67</f>
        <v>21380</v>
      </c>
      <c r="K73" s="82"/>
      <c r="N73" s="36">
        <f>SUM(N62:N64)+N67</f>
        <v>66500</v>
      </c>
      <c r="P73" s="82"/>
      <c r="S73" s="36">
        <f>SUM(S62:S64)+S67</f>
        <v>205700</v>
      </c>
      <c r="U73" s="82"/>
      <c r="X73" s="36">
        <f>SUM(X62:X64)+X67</f>
        <v>54500</v>
      </c>
    </row>
    <row r="74" spans="2:24" x14ac:dyDescent="0.2">
      <c r="B74" s="80" t="s">
        <v>364</v>
      </c>
      <c r="C74" s="36"/>
      <c r="D74" s="36"/>
      <c r="E74" s="81">
        <f>SUM(E31:E35)+SUM(E38:E39)</f>
        <v>22509.760000000002</v>
      </c>
      <c r="F74" s="82"/>
      <c r="G74" s="36"/>
      <c r="H74" s="36"/>
      <c r="I74" s="81">
        <f>SUM(I31:I35)+SUM(I38:I39)</f>
        <v>10170</v>
      </c>
      <c r="K74" s="82"/>
      <c r="N74" s="81">
        <f>SUM(N31:N35)+SUM(N38:N39)</f>
        <v>13860</v>
      </c>
      <c r="P74" s="82"/>
      <c r="S74" s="81">
        <f>SUM(S31:S35)+SUM(S38:S39)</f>
        <v>23940</v>
      </c>
      <c r="U74" s="82"/>
      <c r="X74" s="81">
        <f>SUM(X31:X35)+SUM(X38:X39)</f>
        <v>16852.5</v>
      </c>
    </row>
    <row r="75" spans="2:24" x14ac:dyDescent="0.2">
      <c r="B75" s="35" t="s">
        <v>365</v>
      </c>
      <c r="C75" s="38"/>
      <c r="D75" s="38"/>
      <c r="E75" s="78">
        <f>SUM(E71:E74)</f>
        <v>92301.67200000002</v>
      </c>
      <c r="F75" s="85"/>
      <c r="G75" s="38"/>
      <c r="H75" s="38"/>
      <c r="I75" s="78">
        <f>SUM(I71:I74)</f>
        <v>58947.159999999996</v>
      </c>
      <c r="K75" s="82"/>
      <c r="N75" s="78">
        <f>SUM(N71:N74)</f>
        <v>153659</v>
      </c>
      <c r="P75" s="82"/>
      <c r="S75" s="78">
        <f>SUM(S71:S74)</f>
        <v>328765.8</v>
      </c>
      <c r="U75" s="82"/>
      <c r="X75" s="78">
        <f>SUM(X71:X74)</f>
        <v>143511.5</v>
      </c>
    </row>
    <row r="76" spans="2:24" x14ac:dyDescent="0.2">
      <c r="C76" s="37"/>
      <c r="D76" s="37"/>
      <c r="E76" s="29"/>
      <c r="F76" s="82"/>
      <c r="K76" s="82"/>
      <c r="P76" s="82"/>
      <c r="U76" s="82"/>
    </row>
    <row r="77" spans="2:24" x14ac:dyDescent="0.2">
      <c r="B77" s="336" t="s">
        <v>831</v>
      </c>
      <c r="C77" s="37"/>
      <c r="D77" s="37"/>
      <c r="E77" s="337">
        <f>E75/10000</f>
        <v>9.2301672000000021</v>
      </c>
      <c r="F77" s="82"/>
      <c r="I77" s="337">
        <f>I75/3000</f>
        <v>19.649053333333331</v>
      </c>
      <c r="K77" s="82"/>
      <c r="N77" s="337">
        <f>N75/10000</f>
        <v>15.3659</v>
      </c>
      <c r="P77" s="82"/>
      <c r="S77" s="337">
        <f>S75/30000</f>
        <v>10.95886</v>
      </c>
      <c r="U77" s="82"/>
      <c r="X77" s="337">
        <f>X75/10000</f>
        <v>14.351150000000001</v>
      </c>
    </row>
    <row r="78" spans="2:24" x14ac:dyDescent="0.2">
      <c r="C78" s="37"/>
      <c r="D78" s="37"/>
      <c r="E78" s="29"/>
      <c r="F78" s="82"/>
      <c r="K78" s="82"/>
      <c r="P78" s="82"/>
      <c r="U78" s="82"/>
    </row>
    <row r="79" spans="2:24" x14ac:dyDescent="0.2">
      <c r="C79" s="28"/>
      <c r="D79" s="37"/>
      <c r="E79" s="23"/>
      <c r="F79" s="82"/>
      <c r="K79" s="82"/>
      <c r="P79" s="82"/>
      <c r="U79" s="82"/>
    </row>
    <row r="80" spans="2:24" x14ac:dyDescent="0.2">
      <c r="D80" s="30"/>
      <c r="F80" s="82"/>
      <c r="K80" s="82"/>
      <c r="P80" s="82"/>
      <c r="U80" s="82"/>
    </row>
    <row r="81" spans="2:12" s="25" customFormat="1" x14ac:dyDescent="0.2">
      <c r="G81" s="73"/>
      <c r="H81" s="73"/>
      <c r="I81" s="73"/>
    </row>
    <row r="82" spans="2:12" x14ac:dyDescent="0.2">
      <c r="E82" s="31"/>
    </row>
    <row r="83" spans="2:12" x14ac:dyDescent="0.2">
      <c r="B83" s="11" t="s">
        <v>163</v>
      </c>
      <c r="C83" s="11" t="s">
        <v>164</v>
      </c>
      <c r="E83" s="31"/>
    </row>
    <row r="84" spans="2:12" x14ac:dyDescent="0.2">
      <c r="B84" s="11" t="s">
        <v>178</v>
      </c>
      <c r="C84" s="11"/>
      <c r="E84" s="31"/>
      <c r="L84" t="s">
        <v>805</v>
      </c>
    </row>
    <row r="85" spans="2:12" x14ac:dyDescent="0.2">
      <c r="B85" s="34" t="s">
        <v>165</v>
      </c>
      <c r="C85" s="34">
        <v>30</v>
      </c>
      <c r="D85" s="34">
        <v>60</v>
      </c>
      <c r="E85" s="34">
        <v>120</v>
      </c>
    </row>
    <row r="86" spans="2:12" x14ac:dyDescent="0.2">
      <c r="B86" t="s">
        <v>166</v>
      </c>
      <c r="C86" s="37">
        <v>14</v>
      </c>
      <c r="D86" s="37">
        <v>26</v>
      </c>
      <c r="E86" s="37">
        <v>48</v>
      </c>
    </row>
    <row r="87" spans="2:12" x14ac:dyDescent="0.2">
      <c r="B87" t="s">
        <v>204</v>
      </c>
      <c r="C87" s="37">
        <v>10</v>
      </c>
      <c r="D87" s="37">
        <v>10</v>
      </c>
      <c r="E87" s="37">
        <v>10</v>
      </c>
    </row>
    <row r="88" spans="2:12" x14ac:dyDescent="0.2">
      <c r="B88" t="s">
        <v>167</v>
      </c>
      <c r="C88" s="37">
        <v>227.5</v>
      </c>
      <c r="D88" s="37">
        <v>422.5</v>
      </c>
      <c r="E88" s="37">
        <v>180</v>
      </c>
    </row>
    <row r="89" spans="2:12" x14ac:dyDescent="0.2">
      <c r="B89" t="s">
        <v>168</v>
      </c>
      <c r="C89" s="37">
        <v>22.7</v>
      </c>
      <c r="D89" s="37">
        <v>42.2</v>
      </c>
      <c r="E89" s="37">
        <v>78</v>
      </c>
    </row>
    <row r="90" spans="2:12" x14ac:dyDescent="0.2">
      <c r="B90" t="s">
        <v>169</v>
      </c>
      <c r="C90" s="37">
        <v>40</v>
      </c>
      <c r="D90" s="37">
        <v>700</v>
      </c>
      <c r="E90" s="37">
        <v>1200</v>
      </c>
    </row>
    <row r="91" spans="2:12" x14ac:dyDescent="0.2">
      <c r="B91" s="35" t="s">
        <v>173</v>
      </c>
      <c r="C91" s="36"/>
      <c r="D91" s="36"/>
      <c r="E91" s="36"/>
    </row>
    <row r="92" spans="2:12" x14ac:dyDescent="0.2">
      <c r="B92" t="s">
        <v>171</v>
      </c>
      <c r="C92" s="37">
        <v>7.5</v>
      </c>
      <c r="D92" s="37">
        <v>13.5</v>
      </c>
      <c r="E92" s="37">
        <v>24</v>
      </c>
    </row>
    <row r="93" spans="2:12" x14ac:dyDescent="0.2">
      <c r="B93" t="s">
        <v>170</v>
      </c>
      <c r="C93" s="37">
        <v>22.5</v>
      </c>
      <c r="D93" s="37">
        <v>46.5</v>
      </c>
      <c r="E93" s="37">
        <v>96</v>
      </c>
    </row>
    <row r="94" spans="2:12" x14ac:dyDescent="0.2">
      <c r="B94" s="35" t="s">
        <v>174</v>
      </c>
      <c r="C94" s="36"/>
      <c r="D94" s="36"/>
      <c r="E94" s="36"/>
    </row>
    <row r="95" spans="2:12" x14ac:dyDescent="0.2">
      <c r="B95" t="s">
        <v>172</v>
      </c>
      <c r="C95" s="1079">
        <v>0.09</v>
      </c>
      <c r="D95" s="1079"/>
      <c r="E95" s="1079"/>
    </row>
    <row r="96" spans="2:12" x14ac:dyDescent="0.2">
      <c r="B96" t="s">
        <v>175</v>
      </c>
      <c r="C96" s="1079">
        <v>90</v>
      </c>
      <c r="D96" s="1079"/>
      <c r="E96" s="1079"/>
    </row>
    <row r="97" spans="2:5" x14ac:dyDescent="0.2">
      <c r="B97" t="s">
        <v>176</v>
      </c>
      <c r="C97" s="1079">
        <v>1.1000000000000001</v>
      </c>
      <c r="D97" s="1079"/>
      <c r="E97" s="1079"/>
    </row>
    <row r="98" spans="2:5" x14ac:dyDescent="0.2">
      <c r="B98" t="s">
        <v>177</v>
      </c>
      <c r="C98" s="1079">
        <v>9</v>
      </c>
      <c r="D98" s="1079"/>
      <c r="E98" s="1079"/>
    </row>
    <row r="99" spans="2:5" x14ac:dyDescent="0.2">
      <c r="B99" t="s">
        <v>181</v>
      </c>
      <c r="C99" s="1079">
        <v>1.9</v>
      </c>
      <c r="D99" s="1079"/>
      <c r="E99" s="1079"/>
    </row>
    <row r="100" spans="2:5" x14ac:dyDescent="0.2">
      <c r="B100" s="35" t="s">
        <v>193</v>
      </c>
      <c r="C100" s="36"/>
      <c r="D100" s="36"/>
      <c r="E100" s="36"/>
    </row>
    <row r="101" spans="2:5" x14ac:dyDescent="0.2">
      <c r="B101" t="s">
        <v>192</v>
      </c>
      <c r="C101" s="1079">
        <v>9.8000000000000007</v>
      </c>
      <c r="D101" s="1079"/>
      <c r="E101" s="1079"/>
    </row>
    <row r="102" spans="2:5" x14ac:dyDescent="0.2">
      <c r="B102" t="s">
        <v>179</v>
      </c>
      <c r="C102" s="1079">
        <v>-1.5</v>
      </c>
      <c r="D102" s="1079"/>
      <c r="E102" s="1079"/>
    </row>
    <row r="103" spans="2:5" x14ac:dyDescent="0.2">
      <c r="B103" t="s">
        <v>180</v>
      </c>
      <c r="C103" s="1079">
        <v>-0.8</v>
      </c>
      <c r="D103" s="1079"/>
      <c r="E103" s="1079"/>
    </row>
    <row r="104" spans="2:5" x14ac:dyDescent="0.2">
      <c r="B104" t="s">
        <v>182</v>
      </c>
      <c r="C104" s="1079">
        <v>-0.3</v>
      </c>
      <c r="D104" s="1079"/>
      <c r="E104" s="1079"/>
    </row>
    <row r="105" spans="2:5" x14ac:dyDescent="0.2">
      <c r="B105" t="s">
        <v>183</v>
      </c>
      <c r="C105" s="1079">
        <v>-3.2</v>
      </c>
      <c r="D105" s="1079"/>
      <c r="E105" s="1079"/>
    </row>
    <row r="106" spans="2:5" x14ac:dyDescent="0.2">
      <c r="B106" t="s">
        <v>184</v>
      </c>
      <c r="C106" s="1079">
        <v>-5.8</v>
      </c>
      <c r="D106" s="1079"/>
      <c r="E106" s="1079"/>
    </row>
    <row r="107" spans="2:5" x14ac:dyDescent="0.2">
      <c r="B107" t="s">
        <v>185</v>
      </c>
      <c r="C107" s="1079">
        <v>4</v>
      </c>
      <c r="D107" s="1079"/>
      <c r="E107" s="1079"/>
    </row>
    <row r="108" spans="2:5" x14ac:dyDescent="0.2">
      <c r="B108" s="35" t="s">
        <v>194</v>
      </c>
      <c r="C108" s="36"/>
      <c r="D108" s="36"/>
      <c r="E108" s="36"/>
    </row>
    <row r="109" spans="2:5" x14ac:dyDescent="0.2">
      <c r="B109" t="s">
        <v>186</v>
      </c>
      <c r="C109" s="37">
        <v>27000</v>
      </c>
      <c r="D109" s="37">
        <v>51000</v>
      </c>
      <c r="E109" s="37">
        <v>96000</v>
      </c>
    </row>
    <row r="110" spans="2:5" x14ac:dyDescent="0.2">
      <c r="B110" t="s">
        <v>187</v>
      </c>
      <c r="C110" s="37">
        <v>30</v>
      </c>
      <c r="D110" s="37">
        <v>60</v>
      </c>
      <c r="E110" s="37">
        <v>120</v>
      </c>
    </row>
    <row r="111" spans="2:5" x14ac:dyDescent="0.2">
      <c r="B111" t="s">
        <v>188</v>
      </c>
      <c r="C111" s="37">
        <v>0.9</v>
      </c>
      <c r="D111" s="37">
        <v>0.85</v>
      </c>
      <c r="E111" s="37">
        <v>0.8</v>
      </c>
    </row>
    <row r="112" spans="2:5" x14ac:dyDescent="0.2">
      <c r="B112" t="s">
        <v>189</v>
      </c>
      <c r="C112" s="37">
        <v>4500</v>
      </c>
      <c r="D112" s="37">
        <v>9000</v>
      </c>
      <c r="E112" s="37">
        <v>18000</v>
      </c>
    </row>
    <row r="113" spans="2:9" x14ac:dyDescent="0.2">
      <c r="B113" t="s">
        <v>190</v>
      </c>
      <c r="C113" s="37">
        <v>15900</v>
      </c>
      <c r="D113" s="37">
        <v>28400</v>
      </c>
      <c r="E113" s="37">
        <v>48500</v>
      </c>
    </row>
    <row r="114" spans="2:9" x14ac:dyDescent="0.2">
      <c r="B114" t="s">
        <v>191</v>
      </c>
      <c r="C114" s="37">
        <v>12600</v>
      </c>
      <c r="D114" s="37">
        <v>25000</v>
      </c>
      <c r="E114" s="37">
        <v>50000</v>
      </c>
    </row>
    <row r="115" spans="2:9" x14ac:dyDescent="0.2">
      <c r="B115" t="s">
        <v>195</v>
      </c>
      <c r="C115" s="37">
        <v>2000</v>
      </c>
      <c r="D115" s="37">
        <v>4000</v>
      </c>
      <c r="E115" s="37">
        <v>6000</v>
      </c>
    </row>
    <row r="116" spans="2:9" x14ac:dyDescent="0.2">
      <c r="B116" t="s">
        <v>196</v>
      </c>
      <c r="C116" s="37">
        <v>21300</v>
      </c>
      <c r="D116" s="37">
        <v>42800</v>
      </c>
      <c r="E116" s="37">
        <v>81000</v>
      </c>
    </row>
    <row r="117" spans="2:9" x14ac:dyDescent="0.2">
      <c r="B117" t="s">
        <v>197</v>
      </c>
      <c r="C117" s="37">
        <v>2500</v>
      </c>
      <c r="D117" s="37">
        <v>4800</v>
      </c>
      <c r="E117" s="37">
        <v>6500</v>
      </c>
    </row>
    <row r="118" spans="2:9" x14ac:dyDescent="0.2">
      <c r="B118" t="s">
        <v>198</v>
      </c>
      <c r="C118" s="37">
        <v>1200</v>
      </c>
      <c r="D118" s="37">
        <v>2500</v>
      </c>
      <c r="E118" s="37">
        <v>3000</v>
      </c>
    </row>
    <row r="119" spans="2:9" x14ac:dyDescent="0.2">
      <c r="B119" t="s">
        <v>199</v>
      </c>
      <c r="C119" s="37">
        <v>2000</v>
      </c>
      <c r="D119" s="37">
        <v>3500</v>
      </c>
      <c r="E119" s="37">
        <v>6000</v>
      </c>
    </row>
    <row r="120" spans="2:9" x14ac:dyDescent="0.2">
      <c r="B120" t="s">
        <v>200</v>
      </c>
      <c r="C120" s="37">
        <v>8000</v>
      </c>
      <c r="D120" s="37">
        <v>15000</v>
      </c>
      <c r="E120" s="37">
        <v>25000</v>
      </c>
    </row>
    <row r="121" spans="2:9" x14ac:dyDescent="0.2">
      <c r="B121" t="s">
        <v>201</v>
      </c>
      <c r="C121" s="37">
        <v>97000</v>
      </c>
      <c r="D121" s="37">
        <v>186000</v>
      </c>
      <c r="E121" s="37">
        <v>340000</v>
      </c>
    </row>
    <row r="122" spans="2:9" x14ac:dyDescent="0.2">
      <c r="B122" t="s">
        <v>202</v>
      </c>
      <c r="C122" s="37">
        <v>3.23</v>
      </c>
      <c r="D122" s="37">
        <v>3.1</v>
      </c>
      <c r="E122" s="37">
        <v>2.83</v>
      </c>
    </row>
    <row r="123" spans="2:9" x14ac:dyDescent="0.2">
      <c r="B123" s="35" t="s">
        <v>203</v>
      </c>
      <c r="C123" s="38">
        <v>23100</v>
      </c>
      <c r="D123" s="38">
        <v>54000</v>
      </c>
      <c r="E123" s="38">
        <v>140400</v>
      </c>
    </row>
    <row r="124" spans="2:9" x14ac:dyDescent="0.2">
      <c r="B124" t="s">
        <v>205</v>
      </c>
      <c r="C124" s="37">
        <v>0.4</v>
      </c>
      <c r="D124" s="37">
        <v>0.6</v>
      </c>
      <c r="E124" s="37">
        <v>1</v>
      </c>
    </row>
    <row r="125" spans="2:9" x14ac:dyDescent="0.2">
      <c r="C125" s="37"/>
      <c r="D125" s="37"/>
      <c r="E125" s="37"/>
    </row>
    <row r="127" spans="2:9" s="25" customFormat="1" x14ac:dyDescent="0.2">
      <c r="G127" s="73"/>
      <c r="H127" s="73"/>
      <c r="I127" s="73"/>
    </row>
    <row r="129" spans="2:21" x14ac:dyDescent="0.2">
      <c r="E129" t="s">
        <v>894</v>
      </c>
      <c r="G129" s="37" t="s">
        <v>390</v>
      </c>
      <c r="H129" s="37" t="s">
        <v>392</v>
      </c>
    </row>
    <row r="130" spans="2:21" x14ac:dyDescent="0.2">
      <c r="E130">
        <v>0.5</v>
      </c>
      <c r="G130" s="37">
        <v>1</v>
      </c>
      <c r="H130" s="37">
        <v>0.5</v>
      </c>
      <c r="I130" s="37" t="s">
        <v>895</v>
      </c>
    </row>
    <row r="131" spans="2:21" x14ac:dyDescent="0.2">
      <c r="D131" s="2"/>
      <c r="E131" s="112">
        <v>3</v>
      </c>
      <c r="F131" s="290"/>
      <c r="G131" s="112">
        <v>10</v>
      </c>
      <c r="H131" s="112">
        <v>30</v>
      </c>
      <c r="I131" s="31"/>
      <c r="J131" s="31"/>
      <c r="K131" s="31"/>
    </row>
    <row r="132" spans="2:21" x14ac:dyDescent="0.2">
      <c r="D132" s="2"/>
      <c r="E132" s="293" t="s">
        <v>808</v>
      </c>
      <c r="F132" s="290"/>
      <c r="G132" s="293" t="s">
        <v>809</v>
      </c>
      <c r="H132" s="293" t="s">
        <v>810</v>
      </c>
      <c r="I132"/>
    </row>
    <row r="133" spans="2:21" x14ac:dyDescent="0.2">
      <c r="D133" s="2" t="s">
        <v>829</v>
      </c>
      <c r="E133" s="86">
        <v>125000</v>
      </c>
      <c r="G133" s="295">
        <v>300000</v>
      </c>
      <c r="H133" s="295">
        <v>750000</v>
      </c>
      <c r="I133"/>
    </row>
    <row r="134" spans="2:21" x14ac:dyDescent="0.2">
      <c r="D134" s="2" t="s">
        <v>811</v>
      </c>
      <c r="E134" s="296">
        <f>G52</f>
        <v>36582</v>
      </c>
      <c r="G134" s="296">
        <f>L52</f>
        <v>39420</v>
      </c>
      <c r="H134" s="296">
        <f>Q52</f>
        <v>65700</v>
      </c>
      <c r="I134" s="2" t="s">
        <v>1051</v>
      </c>
    </row>
    <row r="135" spans="2:21" x14ac:dyDescent="0.2">
      <c r="D135" s="2" t="s">
        <v>812</v>
      </c>
      <c r="E135" s="296">
        <f>G55</f>
        <v>30000</v>
      </c>
      <c r="G135" s="296">
        <f>L55</f>
        <v>80000</v>
      </c>
      <c r="H135" s="296">
        <f>Q55</f>
        <v>80000</v>
      </c>
      <c r="I135" s="2"/>
    </row>
    <row r="136" spans="2:21" x14ac:dyDescent="0.2">
      <c r="D136" s="2" t="s">
        <v>896</v>
      </c>
      <c r="E136" s="296">
        <f>E135/E130</f>
        <v>60000</v>
      </c>
      <c r="G136" s="296">
        <f>G135/G130</f>
        <v>80000</v>
      </c>
      <c r="H136" s="296">
        <f>H135/H130</f>
        <v>160000</v>
      </c>
      <c r="I136" s="2" t="s">
        <v>897</v>
      </c>
    </row>
    <row r="137" spans="2:21" x14ac:dyDescent="0.2">
      <c r="D137" s="2" t="s">
        <v>828</v>
      </c>
      <c r="E137" s="296">
        <f>H40</f>
        <v>678</v>
      </c>
      <c r="G137" s="296">
        <f>M40</f>
        <v>924</v>
      </c>
      <c r="H137" s="296">
        <f>R40</f>
        <v>1596</v>
      </c>
      <c r="I137" s="2"/>
    </row>
    <row r="138" spans="2:21" x14ac:dyDescent="0.2">
      <c r="D138" s="2" t="s">
        <v>830</v>
      </c>
      <c r="E138" s="297">
        <f>G44</f>
        <v>88800</v>
      </c>
      <c r="G138" s="297">
        <f>L44</f>
        <v>215000</v>
      </c>
      <c r="H138" s="296">
        <f>Q44</f>
        <v>270000</v>
      </c>
      <c r="I138" s="112">
        <v>3</v>
      </c>
      <c r="J138" s="294" t="s">
        <v>813</v>
      </c>
      <c r="K138" s="292"/>
    </row>
    <row r="139" spans="2:21" x14ac:dyDescent="0.2">
      <c r="D139" s="2"/>
      <c r="E139" s="813"/>
      <c r="G139" s="812"/>
      <c r="H139" s="812"/>
      <c r="I139"/>
      <c r="O139" s="299" t="s">
        <v>814</v>
      </c>
    </row>
    <row r="140" spans="2:21" x14ac:dyDescent="0.2">
      <c r="B140" s="33"/>
      <c r="C140" s="33"/>
      <c r="D140" s="33"/>
      <c r="E140" s="33"/>
      <c r="F140" s="33"/>
      <c r="G140" s="33"/>
      <c r="H140" s="33"/>
      <c r="I140" s="33"/>
      <c r="O140" s="300" t="s">
        <v>815</v>
      </c>
      <c r="P140" s="300" t="s">
        <v>815</v>
      </c>
      <c r="Q140" s="300" t="s">
        <v>815</v>
      </c>
      <c r="R140" s="300" t="s">
        <v>816</v>
      </c>
      <c r="U140" s="300" t="s">
        <v>815</v>
      </c>
    </row>
    <row r="141" spans="2:21" ht="15.75" x14ac:dyDescent="0.25">
      <c r="B141" s="33"/>
      <c r="C141" s="301"/>
      <c r="D141" s="302" t="s">
        <v>817</v>
      </c>
      <c r="E141" s="124"/>
      <c r="F141" s="303" t="s">
        <v>818</v>
      </c>
      <c r="G141" s="124"/>
      <c r="H141" s="124"/>
      <c r="I141" s="124"/>
      <c r="J141" s="124"/>
      <c r="K141" s="124"/>
      <c r="L141" s="303" t="s">
        <v>819</v>
      </c>
      <c r="M141" s="304" t="s">
        <v>820</v>
      </c>
      <c r="N141" s="305" t="s">
        <v>821</v>
      </c>
      <c r="O141" s="123"/>
      <c r="P141" s="123"/>
      <c r="Q141" s="830" t="s">
        <v>822</v>
      </c>
      <c r="R141" s="123"/>
      <c r="S141" t="s">
        <v>958</v>
      </c>
      <c r="U141" s="123"/>
    </row>
    <row r="142" spans="2:21" x14ac:dyDescent="0.2">
      <c r="B142" s="33"/>
      <c r="C142" s="33"/>
      <c r="D142" s="306" t="s">
        <v>823</v>
      </c>
      <c r="E142" s="307" t="s">
        <v>824</v>
      </c>
      <c r="F142" s="308">
        <v>0.65</v>
      </c>
      <c r="G142" s="308">
        <v>0.89</v>
      </c>
      <c r="H142" s="308"/>
      <c r="I142" s="308"/>
      <c r="J142" s="308"/>
      <c r="K142" s="308"/>
      <c r="L142" s="309">
        <f>AVERAGE(F142:I142)</f>
        <v>0.77</v>
      </c>
      <c r="M142" s="310">
        <f>L142*1.2</f>
        <v>0.92399999999999993</v>
      </c>
      <c r="N142" s="311">
        <v>0.3</v>
      </c>
      <c r="O142" s="312">
        <v>21</v>
      </c>
      <c r="P142" s="312"/>
      <c r="Q142" s="831">
        <v>20</v>
      </c>
      <c r="R142" s="313">
        <v>0.45</v>
      </c>
      <c r="S142" s="775">
        <v>0.35</v>
      </c>
      <c r="U142" s="312"/>
    </row>
    <row r="143" spans="2:21" x14ac:dyDescent="0.2">
      <c r="B143" s="33"/>
      <c r="C143" s="33"/>
      <c r="D143" s="306" t="s">
        <v>825</v>
      </c>
      <c r="E143" s="307" t="s">
        <v>826</v>
      </c>
      <c r="F143" s="308">
        <v>0.45</v>
      </c>
      <c r="G143" s="308">
        <v>0.52</v>
      </c>
      <c r="H143" s="308">
        <v>0.5</v>
      </c>
      <c r="I143" s="308"/>
      <c r="J143" s="308"/>
      <c r="K143" s="308"/>
      <c r="L143" s="309">
        <f>AVERAGE(F143:I143)</f>
        <v>0.49</v>
      </c>
      <c r="M143" s="310">
        <f>L143*1.2</f>
        <v>0.58799999999999997</v>
      </c>
      <c r="N143" s="311">
        <v>0.3</v>
      </c>
      <c r="O143" s="312">
        <v>21</v>
      </c>
      <c r="P143" s="312"/>
      <c r="Q143" s="832">
        <v>20</v>
      </c>
      <c r="R143" s="315">
        <v>0.45</v>
      </c>
      <c r="S143" s="775">
        <v>0.35</v>
      </c>
      <c r="U143" s="312"/>
    </row>
    <row r="144" spans="2:21" x14ac:dyDescent="0.2">
      <c r="B144" s="33"/>
      <c r="C144" s="33"/>
      <c r="D144" s="306" t="s">
        <v>104</v>
      </c>
      <c r="E144" s="307"/>
      <c r="F144" s="308"/>
      <c r="G144" s="308"/>
      <c r="H144" s="308"/>
      <c r="I144" s="308"/>
      <c r="J144" s="308"/>
      <c r="K144" s="308"/>
      <c r="L144" s="309"/>
      <c r="M144" s="310">
        <v>1.5</v>
      </c>
      <c r="N144" s="311">
        <v>1.5</v>
      </c>
      <c r="O144" s="312">
        <v>12</v>
      </c>
      <c r="P144" s="312">
        <v>15.4</v>
      </c>
      <c r="Q144" s="832">
        <v>14</v>
      </c>
      <c r="R144" s="315">
        <v>0.6</v>
      </c>
      <c r="S144" s="775">
        <v>0.5</v>
      </c>
      <c r="U144" s="312">
        <v>15.4</v>
      </c>
    </row>
    <row r="145" spans="2:21" x14ac:dyDescent="0.2">
      <c r="B145" s="33"/>
      <c r="C145" s="33"/>
      <c r="D145" s="316" t="s">
        <v>390</v>
      </c>
      <c r="E145" s="317" t="s">
        <v>827</v>
      </c>
      <c r="F145" s="318">
        <v>0.45</v>
      </c>
      <c r="G145" s="318">
        <v>1.05</v>
      </c>
      <c r="H145" s="318">
        <v>1.2</v>
      </c>
      <c r="I145" s="318">
        <v>1.33</v>
      </c>
      <c r="J145" s="318">
        <v>1.55</v>
      </c>
      <c r="K145" s="318"/>
      <c r="L145" s="319">
        <f>AVERAGE(F145:J145)</f>
        <v>1.1160000000000001</v>
      </c>
      <c r="M145" s="320">
        <v>2</v>
      </c>
      <c r="N145" s="321">
        <v>1</v>
      </c>
      <c r="O145" s="312">
        <v>24</v>
      </c>
      <c r="P145" s="322">
        <f>24/0.42</f>
        <v>57.142857142857146</v>
      </c>
      <c r="Q145" s="832">
        <v>24</v>
      </c>
      <c r="R145" s="323">
        <v>0.42</v>
      </c>
      <c r="S145" s="775">
        <v>0.9</v>
      </c>
      <c r="U145" s="322">
        <f>24/0.42</f>
        <v>57.142857142857146</v>
      </c>
    </row>
    <row r="146" spans="2:21" x14ac:dyDescent="0.2">
      <c r="B146" s="33"/>
      <c r="C146" s="33"/>
      <c r="D146" s="33"/>
      <c r="E146" s="33"/>
      <c r="F146" s="324"/>
      <c r="G146" s="33"/>
      <c r="H146" s="324"/>
      <c r="I146" s="33"/>
      <c r="O146" s="312">
        <v>15</v>
      </c>
      <c r="P146" s="312">
        <v>15.4</v>
      </c>
      <c r="Q146" s="314">
        <v>15</v>
      </c>
      <c r="R146" s="323">
        <v>0.48</v>
      </c>
      <c r="U146" s="312">
        <v>15.4</v>
      </c>
    </row>
    <row r="147" spans="2:21" x14ac:dyDescent="0.2">
      <c r="B147" s="33"/>
      <c r="C147" s="33"/>
      <c r="D147" s="299"/>
      <c r="E147" s="325"/>
      <c r="F147" s="325"/>
      <c r="G147" s="325"/>
      <c r="H147" s="33"/>
      <c r="I147" s="33"/>
      <c r="J147" s="3"/>
      <c r="K147" s="326"/>
      <c r="L147" s="326"/>
      <c r="M147" s="326"/>
    </row>
    <row r="148" spans="2:21" x14ac:dyDescent="0.2">
      <c r="B148" s="33"/>
      <c r="C148" s="33"/>
      <c r="G148"/>
      <c r="H148"/>
      <c r="I148" s="33"/>
      <c r="K148" s="62"/>
      <c r="L148" s="62"/>
      <c r="M148" s="62"/>
    </row>
    <row r="149" spans="2:21" x14ac:dyDescent="0.2">
      <c r="B149" s="33"/>
      <c r="C149" s="33"/>
      <c r="G149"/>
      <c r="H149"/>
      <c r="I149" s="33"/>
      <c r="J149" s="327"/>
      <c r="K149" s="19"/>
      <c r="L149" s="19"/>
      <c r="M149" s="19"/>
    </row>
    <row r="150" spans="2:21" x14ac:dyDescent="0.2">
      <c r="B150" s="33"/>
      <c r="C150" s="33"/>
      <c r="G150"/>
      <c r="H150"/>
      <c r="I150" s="33"/>
      <c r="J150" s="327"/>
      <c r="K150" s="19"/>
      <c r="L150" s="19"/>
      <c r="M150" s="19"/>
    </row>
    <row r="151" spans="2:21" x14ac:dyDescent="0.2">
      <c r="B151" s="33"/>
      <c r="C151" s="328"/>
      <c r="D151" s="2" t="s">
        <v>887</v>
      </c>
      <c r="G151"/>
      <c r="H151"/>
      <c r="I151" s="33"/>
      <c r="J151" s="327"/>
      <c r="K151" s="19"/>
      <c r="L151" s="19"/>
      <c r="M151" s="19"/>
    </row>
    <row r="152" spans="2:21" x14ac:dyDescent="0.2">
      <c r="B152" s="33"/>
      <c r="C152" s="33"/>
      <c r="D152" s="2" t="s">
        <v>888</v>
      </c>
      <c r="G152"/>
      <c r="H152"/>
      <c r="I152" s="33"/>
      <c r="J152" s="327"/>
      <c r="K152" s="19"/>
      <c r="L152" s="19"/>
      <c r="M152" s="19"/>
    </row>
    <row r="153" spans="2:21" x14ac:dyDescent="0.2">
      <c r="B153" s="33"/>
      <c r="C153" s="328"/>
      <c r="G153"/>
      <c r="H153"/>
      <c r="I153" s="33"/>
      <c r="J153" s="327"/>
      <c r="K153" s="19"/>
      <c r="L153" s="19"/>
      <c r="M153" s="19"/>
    </row>
    <row r="154" spans="2:21" x14ac:dyDescent="0.2">
      <c r="B154" s="33"/>
      <c r="C154" s="33"/>
      <c r="D154" s="2" t="s">
        <v>104</v>
      </c>
      <c r="E154" s="2" t="s">
        <v>889</v>
      </c>
      <c r="G154"/>
      <c r="H154"/>
      <c r="I154" s="33"/>
      <c r="J154" s="31"/>
      <c r="K154" s="31"/>
      <c r="L154" s="31"/>
      <c r="M154" s="31"/>
    </row>
    <row r="155" spans="2:21" x14ac:dyDescent="0.2">
      <c r="B155" s="33"/>
      <c r="C155" s="33"/>
      <c r="D155" s="2" t="s">
        <v>390</v>
      </c>
      <c r="E155" s="2" t="s">
        <v>890</v>
      </c>
      <c r="F155" s="114"/>
      <c r="G155" s="114"/>
      <c r="H155" s="33"/>
      <c r="I155" s="33"/>
      <c r="J155" s="31"/>
      <c r="K155" s="31"/>
      <c r="L155" s="31"/>
      <c r="M155" s="31"/>
    </row>
    <row r="156" spans="2:21" x14ac:dyDescent="0.2">
      <c r="B156" s="33"/>
      <c r="C156" s="33"/>
      <c r="D156" s="2" t="s">
        <v>891</v>
      </c>
      <c r="E156" s="2" t="s">
        <v>890</v>
      </c>
      <c r="F156" s="33"/>
      <c r="G156" s="325"/>
      <c r="H156" s="33"/>
      <c r="I156" s="33"/>
      <c r="J156" s="327"/>
      <c r="K156" s="19"/>
      <c r="L156" s="19"/>
      <c r="M156" s="19"/>
    </row>
    <row r="157" spans="2:21" x14ac:dyDescent="0.2">
      <c r="B157" s="33"/>
      <c r="C157" s="33"/>
      <c r="D157" s="2" t="s">
        <v>823</v>
      </c>
      <c r="E157" s="2" t="s">
        <v>892</v>
      </c>
      <c r="F157" s="33"/>
      <c r="G157" s="33"/>
      <c r="H157" s="33"/>
      <c r="I157" s="33"/>
      <c r="J157" s="327"/>
      <c r="K157" s="19"/>
      <c r="L157" s="19"/>
      <c r="M157" s="19"/>
    </row>
    <row r="158" spans="2:21" x14ac:dyDescent="0.2">
      <c r="B158" s="33"/>
      <c r="C158" s="33"/>
      <c r="D158" s="2" t="s">
        <v>825</v>
      </c>
      <c r="E158" s="2" t="s">
        <v>892</v>
      </c>
      <c r="F158" s="33"/>
      <c r="G158" s="325"/>
      <c r="H158" s="33"/>
      <c r="I158" s="33"/>
      <c r="J158" s="31"/>
      <c r="K158" s="31"/>
      <c r="L158" s="31"/>
      <c r="M158" s="31"/>
    </row>
    <row r="159" spans="2:21" x14ac:dyDescent="0.2">
      <c r="B159" s="33"/>
      <c r="C159" s="33"/>
      <c r="D159" s="2" t="s">
        <v>893</v>
      </c>
      <c r="E159" s="2" t="s">
        <v>892</v>
      </c>
      <c r="F159" s="328"/>
      <c r="G159" s="33"/>
      <c r="H159" s="33"/>
      <c r="I159" s="33"/>
      <c r="J159" s="102"/>
      <c r="K159" s="298"/>
      <c r="L159" s="298"/>
      <c r="M159" s="298"/>
      <c r="P159" s="3"/>
      <c r="U159" s="3"/>
    </row>
    <row r="160" spans="2:21" x14ac:dyDescent="0.2">
      <c r="B160" s="33"/>
      <c r="C160" s="33"/>
      <c r="D160" s="328"/>
      <c r="E160" s="114"/>
      <c r="F160" s="210"/>
      <c r="G160" s="210"/>
      <c r="H160" s="33"/>
      <c r="I160" s="33"/>
      <c r="J160" s="31"/>
      <c r="K160" s="31"/>
      <c r="L160" s="327"/>
      <c r="M160" s="298"/>
      <c r="P160" s="3"/>
      <c r="R160" s="2"/>
      <c r="S160" s="62"/>
      <c r="U160" s="3"/>
    </row>
    <row r="161" spans="2:21" x14ac:dyDescent="0.2">
      <c r="B161" s="33"/>
      <c r="C161" s="33"/>
      <c r="D161" s="328"/>
      <c r="E161" s="114"/>
      <c r="F161" s="210"/>
      <c r="G161" s="210"/>
      <c r="H161" s="33"/>
      <c r="I161" s="33"/>
      <c r="J161" s="31"/>
      <c r="K161" s="298"/>
      <c r="L161" s="298"/>
      <c r="M161" s="327"/>
      <c r="P161" s="329"/>
      <c r="R161" s="62"/>
      <c r="U161" s="329"/>
    </row>
    <row r="162" spans="2:21" x14ac:dyDescent="0.2">
      <c r="B162" s="33"/>
      <c r="C162" s="33"/>
      <c r="D162" s="328"/>
      <c r="E162" s="114"/>
      <c r="F162" s="210"/>
      <c r="G162" s="210"/>
      <c r="H162" s="33"/>
      <c r="I162" s="33"/>
      <c r="J162" s="327"/>
      <c r="K162" s="330"/>
      <c r="M162" s="86"/>
      <c r="P162" s="331"/>
      <c r="Q162" s="290"/>
      <c r="R162" s="290"/>
      <c r="S162" s="28"/>
      <c r="U162" s="331"/>
    </row>
    <row r="163" spans="2:21" x14ac:dyDescent="0.2">
      <c r="B163" s="33"/>
      <c r="C163" s="33"/>
      <c r="D163" s="299"/>
      <c r="E163" s="33"/>
      <c r="F163" s="93"/>
      <c r="G163" s="210"/>
      <c r="H163" s="33"/>
      <c r="I163" s="33"/>
      <c r="J163" s="327"/>
      <c r="K163" s="19"/>
      <c r="L163" s="19"/>
      <c r="M163" s="86"/>
      <c r="P163" s="332"/>
      <c r="Q163" s="290"/>
      <c r="R163" s="290"/>
      <c r="S163" s="28"/>
      <c r="U163" s="332"/>
    </row>
    <row r="164" spans="2:21" x14ac:dyDescent="0.2">
      <c r="B164" s="33"/>
      <c r="C164" s="33"/>
      <c r="D164" s="328"/>
      <c r="E164" s="210"/>
      <c r="F164" s="210"/>
      <c r="G164" s="210"/>
      <c r="H164" s="33"/>
      <c r="I164" s="33"/>
      <c r="J164" s="2"/>
      <c r="K164" s="290"/>
      <c r="L164" s="290"/>
      <c r="M164" s="28"/>
      <c r="P164" s="332"/>
      <c r="Q164" s="290"/>
      <c r="R164" s="290"/>
      <c r="S164" s="28"/>
      <c r="U164" s="332"/>
    </row>
    <row r="165" spans="2:21" x14ac:dyDescent="0.2">
      <c r="B165" s="33"/>
      <c r="C165" s="33"/>
      <c r="D165" s="299"/>
      <c r="E165" s="210"/>
      <c r="F165" s="33"/>
      <c r="G165" s="333"/>
      <c r="H165" s="33"/>
      <c r="I165" s="33"/>
      <c r="J165" s="2"/>
      <c r="K165" s="290"/>
      <c r="L165" s="290"/>
      <c r="M165" s="28"/>
      <c r="P165" s="332"/>
      <c r="Q165" s="290"/>
      <c r="R165" s="290"/>
      <c r="S165" s="28"/>
      <c r="U165" s="332"/>
    </row>
    <row r="166" spans="2:21" x14ac:dyDescent="0.2">
      <c r="B166" s="33"/>
      <c r="C166" s="33"/>
      <c r="D166" s="33"/>
      <c r="E166" s="33"/>
      <c r="F166" s="33"/>
      <c r="G166" s="33"/>
      <c r="H166" s="33"/>
      <c r="I166" s="33"/>
      <c r="J166" s="334"/>
      <c r="M166" s="3"/>
      <c r="P166" s="335"/>
      <c r="Q166" s="326"/>
      <c r="R166" s="290"/>
      <c r="S166" s="330"/>
      <c r="U166" s="335"/>
    </row>
    <row r="167" spans="2:21" x14ac:dyDescent="0.2">
      <c r="B167" s="33"/>
      <c r="C167" s="33"/>
      <c r="D167" s="33"/>
      <c r="E167" s="33"/>
      <c r="F167" s="33"/>
      <c r="G167" s="33"/>
      <c r="H167" s="33"/>
      <c r="I167" s="33"/>
      <c r="J167" s="31"/>
      <c r="K167" s="31"/>
      <c r="L167" s="31"/>
      <c r="M167" s="31"/>
      <c r="N167" s="31"/>
    </row>
    <row r="168" spans="2:21" x14ac:dyDescent="0.2">
      <c r="B168" s="33"/>
      <c r="C168" s="33"/>
      <c r="D168" s="299"/>
      <c r="E168" s="328"/>
      <c r="F168" s="328"/>
      <c r="G168" s="328"/>
      <c r="H168" s="33"/>
      <c r="I168" s="33"/>
      <c r="J168" s="31"/>
      <c r="K168" s="31"/>
      <c r="L168" s="31"/>
      <c r="M168" s="19"/>
      <c r="N168" s="31"/>
      <c r="P168" s="2"/>
      <c r="R168" s="290"/>
      <c r="S168" s="28"/>
      <c r="U168" s="2"/>
    </row>
    <row r="169" spans="2:21" x14ac:dyDescent="0.2">
      <c r="B169" s="33"/>
      <c r="C169" s="33"/>
      <c r="D169" s="328"/>
      <c r="E169" s="114"/>
      <c r="F169" s="114"/>
      <c r="G169" s="114"/>
      <c r="H169" s="33"/>
      <c r="I169" s="33"/>
      <c r="J169" s="31"/>
      <c r="K169" s="31"/>
      <c r="L169" s="31"/>
      <c r="M169" s="31"/>
      <c r="N169" s="31"/>
    </row>
    <row r="173" spans="2:21" x14ac:dyDescent="0.2">
      <c r="B173" s="11" t="s">
        <v>1037</v>
      </c>
    </row>
    <row r="174" spans="2:21" x14ac:dyDescent="0.2">
      <c r="B174" t="s">
        <v>1036</v>
      </c>
      <c r="C174">
        <v>3.5</v>
      </c>
      <c r="D174" t="s">
        <v>815</v>
      </c>
    </row>
    <row r="175" spans="2:21" x14ac:dyDescent="0.2">
      <c r="B175" t="s">
        <v>1038</v>
      </c>
      <c r="C175">
        <v>1.5</v>
      </c>
      <c r="D175" t="s">
        <v>1039</v>
      </c>
    </row>
    <row r="176" spans="2:21" x14ac:dyDescent="0.2">
      <c r="B176" t="s">
        <v>1040</v>
      </c>
      <c r="C176">
        <v>800</v>
      </c>
      <c r="D176" t="s">
        <v>872</v>
      </c>
    </row>
    <row r="177" spans="2:15" x14ac:dyDescent="0.2">
      <c r="B177" t="s">
        <v>1041</v>
      </c>
      <c r="C177">
        <v>2500</v>
      </c>
      <c r="D177" t="s">
        <v>852</v>
      </c>
    </row>
    <row r="178" spans="2:15" x14ac:dyDescent="0.2">
      <c r="B178" t="s">
        <v>1042</v>
      </c>
      <c r="C178">
        <v>49</v>
      </c>
      <c r="D178" t="s">
        <v>1043</v>
      </c>
    </row>
    <row r="185" spans="2:15" x14ac:dyDescent="0.2">
      <c r="C185" s="11" t="s">
        <v>1049</v>
      </c>
    </row>
    <row r="187" spans="2:15" x14ac:dyDescent="0.2">
      <c r="E187" t="s">
        <v>1050</v>
      </c>
    </row>
    <row r="188" spans="2:15" x14ac:dyDescent="0.2">
      <c r="C188" s="835" t="s">
        <v>1046</v>
      </c>
      <c r="D188" s="835" t="s">
        <v>111</v>
      </c>
      <c r="E188" s="835" t="s">
        <v>111</v>
      </c>
      <c r="N188" s="835" t="s">
        <v>1046</v>
      </c>
      <c r="O188" t="s">
        <v>1048</v>
      </c>
    </row>
    <row r="189" spans="2:15" x14ac:dyDescent="0.2">
      <c r="C189" s="835" t="s">
        <v>116</v>
      </c>
      <c r="D189" s="835" t="s">
        <v>1047</v>
      </c>
      <c r="E189" s="835" t="s">
        <v>852</v>
      </c>
      <c r="N189" s="835" t="s">
        <v>116</v>
      </c>
      <c r="O189" t="s">
        <v>852</v>
      </c>
    </row>
    <row r="190" spans="2:15" x14ac:dyDescent="0.2">
      <c r="C190" s="835">
        <v>15</v>
      </c>
      <c r="D190" s="835">
        <f>30830*15</f>
        <v>462450</v>
      </c>
      <c r="E190" s="28">
        <f>D190*0.8</f>
        <v>369960</v>
      </c>
      <c r="N190" s="835">
        <v>3</v>
      </c>
      <c r="O190" s="30">
        <f>N190*4170+309060</f>
        <v>321570</v>
      </c>
    </row>
    <row r="191" spans="2:15" x14ac:dyDescent="0.2">
      <c r="C191" s="835">
        <v>30</v>
      </c>
      <c r="D191" s="835">
        <f>18784*30</f>
        <v>563520</v>
      </c>
      <c r="E191" s="28">
        <f t="shared" ref="E191:E195" si="22">D191*0.75</f>
        <v>422640</v>
      </c>
      <c r="N191" s="835">
        <v>5</v>
      </c>
      <c r="O191" s="30">
        <f t="shared" ref="O191:O195" si="23">N191*4170+309060</f>
        <v>329910</v>
      </c>
    </row>
    <row r="192" spans="2:15" x14ac:dyDescent="0.2">
      <c r="C192" s="835">
        <v>45</v>
      </c>
      <c r="D192" s="835">
        <f>13878*45</f>
        <v>624510</v>
      </c>
      <c r="E192" s="28">
        <f t="shared" si="22"/>
        <v>468382.5</v>
      </c>
      <c r="N192" s="835">
        <v>10</v>
      </c>
      <c r="O192" s="30">
        <f t="shared" si="23"/>
        <v>350760</v>
      </c>
    </row>
    <row r="193" spans="3:15" x14ac:dyDescent="0.2">
      <c r="C193" s="835">
        <v>60</v>
      </c>
      <c r="D193" s="835">
        <f>13119*60</f>
        <v>787140</v>
      </c>
      <c r="E193" s="28">
        <f t="shared" si="22"/>
        <v>590355</v>
      </c>
      <c r="N193" s="835">
        <v>20</v>
      </c>
      <c r="O193" s="30">
        <f t="shared" si="23"/>
        <v>392460</v>
      </c>
    </row>
    <row r="194" spans="3:15" x14ac:dyDescent="0.2">
      <c r="C194" s="835">
        <v>100</v>
      </c>
      <c r="D194" s="835">
        <f>9986*100</f>
        <v>998600</v>
      </c>
      <c r="E194" s="28">
        <f t="shared" si="22"/>
        <v>748950</v>
      </c>
      <c r="N194" s="835">
        <v>30</v>
      </c>
      <c r="O194" s="30">
        <f t="shared" si="23"/>
        <v>434160</v>
      </c>
    </row>
    <row r="195" spans="3:15" x14ac:dyDescent="0.2">
      <c r="C195" s="835">
        <v>200</v>
      </c>
      <c r="D195" s="835">
        <f>7536*200</f>
        <v>1507200</v>
      </c>
      <c r="E195" s="28">
        <f t="shared" si="22"/>
        <v>1130400</v>
      </c>
      <c r="N195" s="836">
        <v>50</v>
      </c>
      <c r="O195" s="30">
        <f t="shared" si="23"/>
        <v>517560</v>
      </c>
    </row>
  </sheetData>
  <sheetProtection password="D65F" sheet="1" objects="1" scenarios="1"/>
  <customSheetViews>
    <customSheetView guid="{2A376E74-9008-4CC4-AF78-5E9088D4FA1D}" state="hidden" topLeftCell="A25">
      <pane xSplit="2" ySplit="6" topLeftCell="C31" activePane="bottomRight" state="frozen"/>
      <selection pane="bottomRight" activeCell="C31" sqref="C31"/>
      <pageMargins left="0.7" right="0.7" top="0.78740157499999996" bottom="0.78740157499999996" header="0.3" footer="0.3"/>
    </customSheetView>
  </customSheetViews>
  <mergeCells count="12">
    <mergeCell ref="C107:E107"/>
    <mergeCell ref="C95:E95"/>
    <mergeCell ref="C96:E96"/>
    <mergeCell ref="C97:E97"/>
    <mergeCell ref="C98:E98"/>
    <mergeCell ref="C99:E99"/>
    <mergeCell ref="C101:E101"/>
    <mergeCell ref="C102:E102"/>
    <mergeCell ref="C103:E103"/>
    <mergeCell ref="C104:E104"/>
    <mergeCell ref="C105:E105"/>
    <mergeCell ref="C106:E106"/>
  </mergeCells>
  <pageMargins left="0.7" right="0.7" top="0.78740157499999996" bottom="0.78740157499999996"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2:F36"/>
  <sheetViews>
    <sheetView workbookViewId="0"/>
  </sheetViews>
  <sheetFormatPr baseColWidth="10" defaultRowHeight="12.75" x14ac:dyDescent="0.2"/>
  <cols>
    <col min="2" max="2" width="51.140625" customWidth="1"/>
    <col min="3" max="3" width="17.7109375" customWidth="1"/>
    <col min="4" max="4" width="18" customWidth="1"/>
    <col min="5" max="5" width="20.140625" customWidth="1"/>
  </cols>
  <sheetData>
    <row r="2" spans="2:6" x14ac:dyDescent="0.2">
      <c r="B2" s="3" t="s">
        <v>325</v>
      </c>
    </row>
    <row r="4" spans="2:6" x14ac:dyDescent="0.2">
      <c r="B4" s="2" t="s">
        <v>326</v>
      </c>
    </row>
    <row r="6" spans="2:6" x14ac:dyDescent="0.2">
      <c r="B6" s="60" t="s">
        <v>327</v>
      </c>
      <c r="C6" s="61" t="s">
        <v>328</v>
      </c>
      <c r="D6" s="61" t="s">
        <v>329</v>
      </c>
      <c r="E6" s="61" t="s">
        <v>330</v>
      </c>
    </row>
    <row r="7" spans="2:6" x14ac:dyDescent="0.2">
      <c r="B7" s="2" t="s">
        <v>331</v>
      </c>
      <c r="C7" s="62" t="s">
        <v>293</v>
      </c>
      <c r="D7" s="62" t="s">
        <v>332</v>
      </c>
      <c r="E7" s="62" t="s">
        <v>333</v>
      </c>
      <c r="F7" s="63" t="s">
        <v>334</v>
      </c>
    </row>
    <row r="8" spans="2:6" x14ac:dyDescent="0.2">
      <c r="C8" s="37"/>
      <c r="D8" s="37"/>
      <c r="E8" s="37"/>
    </row>
    <row r="9" spans="2:6" x14ac:dyDescent="0.2">
      <c r="B9" s="64" t="s">
        <v>335</v>
      </c>
      <c r="C9" s="37"/>
      <c r="D9" s="37"/>
      <c r="E9" s="37"/>
    </row>
    <row r="10" spans="2:6" x14ac:dyDescent="0.2">
      <c r="B10" s="2" t="s">
        <v>336</v>
      </c>
      <c r="C10" s="62" t="s">
        <v>38</v>
      </c>
      <c r="D10" s="37"/>
      <c r="E10" s="37"/>
    </row>
    <row r="11" spans="2:6" x14ac:dyDescent="0.2">
      <c r="B11" s="2" t="s">
        <v>337</v>
      </c>
      <c r="C11" s="62" t="s">
        <v>38</v>
      </c>
      <c r="D11" s="37"/>
      <c r="E11" s="37"/>
    </row>
    <row r="12" spans="2:6" ht="12.75" customHeight="1" x14ac:dyDescent="0.2">
      <c r="B12" s="2" t="s">
        <v>338</v>
      </c>
      <c r="C12" s="62" t="s">
        <v>38</v>
      </c>
      <c r="D12" s="37"/>
      <c r="E12" s="37"/>
    </row>
    <row r="13" spans="2:6" x14ac:dyDescent="0.2">
      <c r="C13" s="37"/>
      <c r="D13" s="37"/>
      <c r="E13" s="37"/>
    </row>
    <row r="14" spans="2:6" ht="12.75" customHeight="1" x14ac:dyDescent="0.2">
      <c r="B14" s="65" t="s">
        <v>339</v>
      </c>
      <c r="C14" s="62" t="s">
        <v>269</v>
      </c>
      <c r="D14" s="37">
        <v>5</v>
      </c>
      <c r="E14" s="37"/>
    </row>
    <row r="15" spans="2:6" x14ac:dyDescent="0.2">
      <c r="C15" s="37"/>
      <c r="D15" s="37"/>
      <c r="E15" s="37"/>
    </row>
    <row r="16" spans="2:6" x14ac:dyDescent="0.2">
      <c r="B16" s="2" t="s">
        <v>340</v>
      </c>
      <c r="C16" s="37"/>
      <c r="D16" s="37"/>
      <c r="E16" s="37"/>
    </row>
    <row r="17" spans="2:5" x14ac:dyDescent="0.2">
      <c r="B17" s="2" t="s">
        <v>341</v>
      </c>
      <c r="C17" s="62" t="s">
        <v>269</v>
      </c>
      <c r="D17" s="37">
        <v>6.5</v>
      </c>
      <c r="E17" s="37">
        <v>3.5</v>
      </c>
    </row>
    <row r="18" spans="2:5" x14ac:dyDescent="0.2">
      <c r="B18" s="2" t="s">
        <v>342</v>
      </c>
      <c r="C18" s="62" t="s">
        <v>269</v>
      </c>
      <c r="D18" s="37">
        <v>5</v>
      </c>
      <c r="E18" s="37">
        <v>0.5</v>
      </c>
    </row>
    <row r="19" spans="2:5" x14ac:dyDescent="0.2">
      <c r="C19" s="37"/>
      <c r="D19" s="37"/>
      <c r="E19" s="37"/>
    </row>
    <row r="20" spans="2:5" x14ac:dyDescent="0.2">
      <c r="C20" s="37"/>
      <c r="D20" s="37"/>
      <c r="E20" s="37"/>
    </row>
    <row r="21" spans="2:5" x14ac:dyDescent="0.2">
      <c r="B21" s="2" t="s">
        <v>343</v>
      </c>
      <c r="C21" s="37"/>
      <c r="D21" s="37"/>
      <c r="E21" s="37"/>
    </row>
    <row r="22" spans="2:5" x14ac:dyDescent="0.2">
      <c r="B22" s="2" t="s">
        <v>344</v>
      </c>
      <c r="C22" s="62" t="s">
        <v>269</v>
      </c>
      <c r="D22" s="37">
        <v>0.01</v>
      </c>
      <c r="E22" s="37">
        <v>0.02</v>
      </c>
    </row>
    <row r="23" spans="2:5" x14ac:dyDescent="0.2">
      <c r="B23" s="2" t="s">
        <v>345</v>
      </c>
      <c r="C23" s="62" t="s">
        <v>269</v>
      </c>
      <c r="D23" s="37">
        <v>6.0000000000000001E-3</v>
      </c>
      <c r="E23" s="37">
        <v>6.0000000000000001E-3</v>
      </c>
    </row>
    <row r="24" spans="2:5" x14ac:dyDescent="0.2">
      <c r="C24" s="37"/>
      <c r="D24" s="37"/>
      <c r="E24" s="37"/>
    </row>
    <row r="25" spans="2:5" x14ac:dyDescent="0.2">
      <c r="B25" s="2" t="s">
        <v>346</v>
      </c>
      <c r="C25" s="62" t="s">
        <v>269</v>
      </c>
      <c r="D25" s="37">
        <v>200</v>
      </c>
      <c r="E25" s="37">
        <v>200</v>
      </c>
    </row>
    <row r="26" spans="2:5" x14ac:dyDescent="0.2">
      <c r="B26" s="2" t="s">
        <v>347</v>
      </c>
      <c r="C26" s="62" t="s">
        <v>269</v>
      </c>
      <c r="D26" s="37">
        <v>35</v>
      </c>
      <c r="E26" s="37"/>
    </row>
    <row r="27" spans="2:5" x14ac:dyDescent="0.2">
      <c r="B27" s="2" t="s">
        <v>348</v>
      </c>
      <c r="C27" s="62" t="s">
        <v>269</v>
      </c>
      <c r="D27" s="37">
        <v>20</v>
      </c>
      <c r="E27" s="37">
        <v>20</v>
      </c>
    </row>
    <row r="28" spans="2:5" x14ac:dyDescent="0.2">
      <c r="B28" s="2" t="s">
        <v>349</v>
      </c>
      <c r="C28" s="37"/>
      <c r="D28" s="62" t="s">
        <v>350</v>
      </c>
      <c r="E28" s="62" t="s">
        <v>351</v>
      </c>
    </row>
    <row r="29" spans="2:5" x14ac:dyDescent="0.2">
      <c r="B29" s="2"/>
      <c r="C29" s="37"/>
      <c r="D29" s="62"/>
      <c r="E29" s="62"/>
    </row>
    <row r="30" spans="2:5" x14ac:dyDescent="0.2">
      <c r="B30" s="2" t="s">
        <v>352</v>
      </c>
      <c r="C30" s="62"/>
      <c r="D30" s="37"/>
      <c r="E30" s="37"/>
    </row>
    <row r="31" spans="2:5" x14ac:dyDescent="0.2">
      <c r="B31" s="2" t="s">
        <v>344</v>
      </c>
      <c r="C31" s="62" t="s">
        <v>353</v>
      </c>
      <c r="D31" s="37">
        <v>18</v>
      </c>
      <c r="E31" s="37">
        <v>30</v>
      </c>
    </row>
    <row r="32" spans="2:5" x14ac:dyDescent="0.2">
      <c r="B32" s="2" t="s">
        <v>345</v>
      </c>
      <c r="C32" s="62" t="s">
        <v>353</v>
      </c>
      <c r="D32" s="37">
        <v>14</v>
      </c>
      <c r="E32" s="37">
        <v>28</v>
      </c>
    </row>
    <row r="33" spans="2:5" x14ac:dyDescent="0.2">
      <c r="C33" s="37"/>
      <c r="D33" s="37"/>
      <c r="E33" s="37"/>
    </row>
    <row r="34" spans="2:5" ht="12.75" customHeight="1" x14ac:dyDescent="0.2">
      <c r="B34" s="65" t="s">
        <v>354</v>
      </c>
      <c r="C34" s="62" t="s">
        <v>353</v>
      </c>
      <c r="D34" s="37">
        <v>3</v>
      </c>
      <c r="E34" s="37">
        <v>5</v>
      </c>
    </row>
    <row r="35" spans="2:5" x14ac:dyDescent="0.2">
      <c r="C35" s="37"/>
      <c r="D35" s="37"/>
      <c r="E35" s="37"/>
    </row>
    <row r="36" spans="2:5" x14ac:dyDescent="0.2">
      <c r="B36" s="2" t="s">
        <v>355</v>
      </c>
      <c r="C36" s="27" t="s">
        <v>356</v>
      </c>
      <c r="D36" s="37">
        <v>100</v>
      </c>
      <c r="E36" s="37">
        <v>280</v>
      </c>
    </row>
  </sheetData>
  <sheetProtection sheet="1" objects="1" scenarios="1" selectLockedCells="1"/>
  <customSheetViews>
    <customSheetView guid="{2A376E74-9008-4CC4-AF78-5E9088D4FA1D}" state="hidden">
      <pageMargins left="0.7" right="0.7" top="0.78740157499999996" bottom="0.78740157499999996" header="0.3" footer="0.3"/>
    </customSheetView>
  </customSheetView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4:B16"/>
  <sheetViews>
    <sheetView showGridLines="0" showRowColHeaders="0" workbookViewId="0"/>
  </sheetViews>
  <sheetFormatPr baseColWidth="10" defaultRowHeight="12.75" x14ac:dyDescent="0.2"/>
  <cols>
    <col min="2" max="2" width="80.5703125" customWidth="1"/>
  </cols>
  <sheetData>
    <row r="4" spans="1:2" x14ac:dyDescent="0.2">
      <c r="A4" t="s">
        <v>41</v>
      </c>
    </row>
    <row r="6" spans="1:2" ht="25.5" x14ac:dyDescent="0.2">
      <c r="A6" s="219">
        <v>1</v>
      </c>
      <c r="B6" s="17" t="s">
        <v>42</v>
      </c>
    </row>
    <row r="7" spans="1:2" x14ac:dyDescent="0.2">
      <c r="A7" s="219">
        <v>2</v>
      </c>
      <c r="B7" t="s">
        <v>48</v>
      </c>
    </row>
    <row r="8" spans="1:2" x14ac:dyDescent="0.2">
      <c r="A8" s="219">
        <v>3</v>
      </c>
      <c r="B8" t="s">
        <v>50</v>
      </c>
    </row>
    <row r="9" spans="1:2" x14ac:dyDescent="0.2">
      <c r="A9" s="219">
        <v>4</v>
      </c>
      <c r="B9" t="s">
        <v>62</v>
      </c>
    </row>
    <row r="10" spans="1:2" x14ac:dyDescent="0.2">
      <c r="A10" s="219">
        <v>5</v>
      </c>
      <c r="B10" t="s">
        <v>100</v>
      </c>
    </row>
    <row r="11" spans="1:2" x14ac:dyDescent="0.2">
      <c r="A11" s="219">
        <v>6</v>
      </c>
      <c r="B11" t="s">
        <v>110</v>
      </c>
    </row>
    <row r="12" spans="1:2" x14ac:dyDescent="0.2">
      <c r="A12" s="219">
        <v>7</v>
      </c>
      <c r="B12" t="s">
        <v>140</v>
      </c>
    </row>
    <row r="13" spans="1:2" x14ac:dyDescent="0.2">
      <c r="A13" s="219">
        <v>8</v>
      </c>
      <c r="B13" t="s">
        <v>206</v>
      </c>
    </row>
    <row r="14" spans="1:2" x14ac:dyDescent="0.2">
      <c r="A14" s="219">
        <v>9</v>
      </c>
      <c r="B14" t="s">
        <v>221</v>
      </c>
    </row>
    <row r="15" spans="1:2" x14ac:dyDescent="0.2">
      <c r="A15" s="219">
        <v>10</v>
      </c>
      <c r="B15" t="s">
        <v>234</v>
      </c>
    </row>
    <row r="16" spans="1:2" x14ac:dyDescent="0.2">
      <c r="A16" s="219">
        <v>11</v>
      </c>
      <c r="B16" t="s">
        <v>445</v>
      </c>
    </row>
  </sheetData>
  <sheetProtection password="D65F" sheet="1" objects="1" scenarios="1"/>
  <customSheetViews>
    <customSheetView guid="{2A376E74-9008-4CC4-AF78-5E9088D4FA1D}">
      <pageMargins left="0.7" right="0.7" top="0.78740157499999996" bottom="0.78740157499999996" header="0.3" footer="0.3"/>
    </customSheetView>
  </customSheetView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202"/>
  <sheetViews>
    <sheetView workbookViewId="0"/>
  </sheetViews>
  <sheetFormatPr baseColWidth="10" defaultRowHeight="12.75" x14ac:dyDescent="0.2"/>
  <cols>
    <col min="1" max="1" width="29.5703125" customWidth="1"/>
    <col min="2" max="2" width="36" customWidth="1"/>
    <col min="3" max="3" width="10.7109375" customWidth="1"/>
    <col min="4" max="5" width="92.140625" style="859" customWidth="1"/>
    <col min="6" max="6" width="92.140625" style="865" customWidth="1"/>
  </cols>
  <sheetData>
    <row r="1" spans="1:6" ht="15.75" x14ac:dyDescent="0.25">
      <c r="A1" s="837" t="s">
        <v>1057</v>
      </c>
    </row>
    <row r="2" spans="1:6" ht="15.75" x14ac:dyDescent="0.25">
      <c r="A2" s="837" t="s">
        <v>1239</v>
      </c>
      <c r="B2" s="873" t="s">
        <v>1060</v>
      </c>
      <c r="C2" s="873"/>
    </row>
    <row r="3" spans="1:6" ht="15.75" x14ac:dyDescent="0.25">
      <c r="A3" s="837"/>
      <c r="B3" s="873" t="s">
        <v>1061</v>
      </c>
      <c r="C3" s="873"/>
    </row>
    <row r="4" spans="1:6" ht="15.75" x14ac:dyDescent="0.25">
      <c r="A4" s="837"/>
      <c r="B4" s="774"/>
      <c r="C4" s="774"/>
    </row>
    <row r="5" spans="1:6" x14ac:dyDescent="0.2">
      <c r="D5" s="859" t="s">
        <v>1058</v>
      </c>
    </row>
    <row r="6" spans="1:6" ht="13.5" thickBot="1" x14ac:dyDescent="0.25">
      <c r="C6" t="s">
        <v>1243</v>
      </c>
    </row>
    <row r="7" spans="1:6" ht="15.75" thickBot="1" x14ac:dyDescent="0.3">
      <c r="A7" s="838" t="s">
        <v>373</v>
      </c>
      <c r="B7" s="839" t="s">
        <v>1059</v>
      </c>
      <c r="C7" s="844"/>
      <c r="D7" s="860" t="s">
        <v>1060</v>
      </c>
      <c r="E7" s="866" t="s">
        <v>1061</v>
      </c>
      <c r="F7" s="867" t="s">
        <v>1062</v>
      </c>
    </row>
    <row r="8" spans="1:6" x14ac:dyDescent="0.2">
      <c r="A8" s="840" t="s">
        <v>1063</v>
      </c>
      <c r="B8" s="123" t="s">
        <v>1064</v>
      </c>
      <c r="C8" s="845">
        <v>1</v>
      </c>
      <c r="D8" s="861" t="s">
        <v>792</v>
      </c>
      <c r="E8" s="861" t="s">
        <v>1065</v>
      </c>
      <c r="F8" s="868"/>
    </row>
    <row r="9" spans="1:6" x14ac:dyDescent="0.2">
      <c r="A9" s="123"/>
      <c r="B9" s="123" t="s">
        <v>1066</v>
      </c>
      <c r="C9" s="846">
        <v>2</v>
      </c>
      <c r="D9" s="842" t="s">
        <v>1240</v>
      </c>
      <c r="E9" s="842" t="s">
        <v>1240</v>
      </c>
      <c r="F9" s="864"/>
    </row>
    <row r="10" spans="1:6" x14ac:dyDescent="0.2">
      <c r="A10" s="123"/>
      <c r="B10" s="123" t="s">
        <v>1067</v>
      </c>
      <c r="C10" s="846">
        <v>3</v>
      </c>
      <c r="D10" s="842" t="s">
        <v>492</v>
      </c>
      <c r="E10" s="842" t="s">
        <v>1068</v>
      </c>
      <c r="F10" s="864"/>
    </row>
    <row r="11" spans="1:6" x14ac:dyDescent="0.2">
      <c r="A11" s="123"/>
      <c r="B11" s="123" t="s">
        <v>1069</v>
      </c>
      <c r="C11" s="846">
        <v>4</v>
      </c>
      <c r="D11" s="842" t="s">
        <v>493</v>
      </c>
      <c r="E11" s="842" t="s">
        <v>1070</v>
      </c>
      <c r="F11" s="864"/>
    </row>
    <row r="12" spans="1:6" x14ac:dyDescent="0.2">
      <c r="A12" s="123"/>
      <c r="B12" s="123" t="s">
        <v>1071</v>
      </c>
      <c r="C12" s="845">
        <v>5</v>
      </c>
      <c r="D12" s="842" t="s">
        <v>494</v>
      </c>
      <c r="E12" s="842" t="s">
        <v>1072</v>
      </c>
      <c r="F12" s="864"/>
    </row>
    <row r="13" spans="1:6" x14ac:dyDescent="0.2">
      <c r="A13" s="123"/>
      <c r="B13" s="123" t="s">
        <v>1073</v>
      </c>
      <c r="C13" s="846">
        <v>6</v>
      </c>
      <c r="D13" s="842" t="s">
        <v>495</v>
      </c>
      <c r="E13" s="842" t="s">
        <v>1074</v>
      </c>
      <c r="F13" s="864"/>
    </row>
    <row r="14" spans="1:6" x14ac:dyDescent="0.2">
      <c r="A14" s="123"/>
      <c r="B14" s="123" t="s">
        <v>1075</v>
      </c>
      <c r="C14" s="846">
        <v>7</v>
      </c>
      <c r="D14" s="842" t="s">
        <v>476</v>
      </c>
      <c r="E14" s="842" t="s">
        <v>1076</v>
      </c>
      <c r="F14" s="864"/>
    </row>
    <row r="15" spans="1:6" x14ac:dyDescent="0.2">
      <c r="A15" s="123"/>
      <c r="B15" s="123" t="s">
        <v>1077</v>
      </c>
      <c r="C15" s="846">
        <v>8</v>
      </c>
      <c r="D15" s="842" t="s">
        <v>496</v>
      </c>
      <c r="E15" s="842" t="s">
        <v>1078</v>
      </c>
      <c r="F15" s="864"/>
    </row>
    <row r="16" spans="1:6" x14ac:dyDescent="0.2">
      <c r="A16" s="123"/>
      <c r="B16" s="123" t="s">
        <v>1079</v>
      </c>
      <c r="C16" s="845">
        <v>9</v>
      </c>
      <c r="D16" s="842" t="s">
        <v>529</v>
      </c>
      <c r="E16" s="842" t="s">
        <v>1080</v>
      </c>
      <c r="F16" s="864"/>
    </row>
    <row r="17" spans="1:6" x14ac:dyDescent="0.2">
      <c r="A17" s="123"/>
      <c r="B17" s="123" t="s">
        <v>1081</v>
      </c>
      <c r="C17" s="846">
        <v>10</v>
      </c>
      <c r="D17" s="842" t="s">
        <v>1025</v>
      </c>
      <c r="E17" s="842" t="s">
        <v>1082</v>
      </c>
      <c r="F17" s="864"/>
    </row>
    <row r="18" spans="1:6" x14ac:dyDescent="0.2">
      <c r="A18" s="123"/>
      <c r="B18" s="123" t="s">
        <v>1083</v>
      </c>
      <c r="C18" s="846">
        <v>11</v>
      </c>
      <c r="D18" s="842" t="s">
        <v>1083</v>
      </c>
      <c r="E18" s="842" t="s">
        <v>1287</v>
      </c>
      <c r="F18" s="864"/>
    </row>
    <row r="19" spans="1:6" x14ac:dyDescent="0.2">
      <c r="A19" s="123"/>
      <c r="B19" s="123"/>
      <c r="C19" s="846">
        <v>12</v>
      </c>
      <c r="D19" s="842" t="s">
        <v>702</v>
      </c>
      <c r="E19" s="842" t="s">
        <v>1346</v>
      </c>
      <c r="F19" s="864"/>
    </row>
    <row r="20" spans="1:6" x14ac:dyDescent="0.2">
      <c r="A20" s="123"/>
      <c r="B20" s="123"/>
      <c r="C20" s="845">
        <v>13</v>
      </c>
      <c r="D20" s="842" t="s">
        <v>1263</v>
      </c>
      <c r="E20" s="842" t="s">
        <v>1347</v>
      </c>
      <c r="F20" s="864"/>
    </row>
    <row r="21" spans="1:6" x14ac:dyDescent="0.2">
      <c r="A21" s="123"/>
      <c r="B21" s="123" t="s">
        <v>1264</v>
      </c>
      <c r="C21" s="846">
        <v>14</v>
      </c>
      <c r="D21" s="842"/>
      <c r="E21" s="842"/>
      <c r="F21" s="864"/>
    </row>
    <row r="22" spans="1:6" x14ac:dyDescent="0.2">
      <c r="A22" s="123"/>
      <c r="B22" s="123"/>
      <c r="C22" s="846">
        <v>15</v>
      </c>
      <c r="D22" s="842" t="s">
        <v>766</v>
      </c>
      <c r="E22" s="842" t="s">
        <v>1084</v>
      </c>
      <c r="F22" s="864"/>
    </row>
    <row r="23" spans="1:6" x14ac:dyDescent="0.2">
      <c r="A23" s="123"/>
      <c r="B23" s="123"/>
      <c r="C23" s="846">
        <v>16</v>
      </c>
      <c r="D23" s="842" t="s">
        <v>996</v>
      </c>
      <c r="E23" s="842" t="s">
        <v>1085</v>
      </c>
      <c r="F23" s="864"/>
    </row>
    <row r="24" spans="1:6" x14ac:dyDescent="0.2">
      <c r="A24" s="123"/>
      <c r="B24" s="123"/>
      <c r="C24" s="845">
        <v>17</v>
      </c>
      <c r="D24" s="842" t="s">
        <v>793</v>
      </c>
      <c r="E24" s="842" t="s">
        <v>1086</v>
      </c>
      <c r="F24" s="864"/>
    </row>
    <row r="25" spans="1:6" x14ac:dyDescent="0.2">
      <c r="A25" s="123"/>
      <c r="B25" s="123"/>
      <c r="C25" s="846">
        <v>18</v>
      </c>
      <c r="D25" s="842" t="s">
        <v>758</v>
      </c>
      <c r="E25" s="842" t="s">
        <v>1087</v>
      </c>
      <c r="F25" s="864"/>
    </row>
    <row r="26" spans="1:6" x14ac:dyDescent="0.2">
      <c r="A26" s="123"/>
      <c r="B26" s="123" t="s">
        <v>1242</v>
      </c>
      <c r="C26" s="846">
        <v>19</v>
      </c>
      <c r="D26" s="842" t="s">
        <v>1267</v>
      </c>
      <c r="E26" s="862" t="s">
        <v>1288</v>
      </c>
      <c r="F26" s="864"/>
    </row>
    <row r="27" spans="1:6" x14ac:dyDescent="0.2">
      <c r="A27" s="123"/>
      <c r="B27" s="123"/>
      <c r="C27" s="846">
        <v>20</v>
      </c>
      <c r="D27" s="842" t="s">
        <v>1029</v>
      </c>
      <c r="E27" s="862" t="s">
        <v>1289</v>
      </c>
      <c r="F27" s="864"/>
    </row>
    <row r="28" spans="1:6" x14ac:dyDescent="0.2">
      <c r="A28" s="123"/>
      <c r="B28" s="123"/>
      <c r="C28" s="845">
        <v>21</v>
      </c>
      <c r="D28" s="842" t="s">
        <v>1023</v>
      </c>
      <c r="E28" s="862" t="s">
        <v>1290</v>
      </c>
      <c r="F28" s="864"/>
    </row>
    <row r="29" spans="1:6" x14ac:dyDescent="0.2">
      <c r="A29" s="123"/>
      <c r="B29" s="123" t="s">
        <v>1241</v>
      </c>
      <c r="C29" s="846">
        <v>22</v>
      </c>
      <c r="D29" s="842" t="s">
        <v>1027</v>
      </c>
      <c r="E29" s="862" t="s">
        <v>1291</v>
      </c>
      <c r="F29" s="864"/>
    </row>
    <row r="30" spans="1:6" x14ac:dyDescent="0.2">
      <c r="A30" s="123"/>
      <c r="B30" s="123"/>
      <c r="C30" s="846">
        <v>23</v>
      </c>
      <c r="D30" s="842" t="s">
        <v>722</v>
      </c>
      <c r="E30" s="842" t="s">
        <v>1088</v>
      </c>
      <c r="F30" s="864"/>
    </row>
    <row r="31" spans="1:6" x14ac:dyDescent="0.2">
      <c r="A31" s="123" t="s">
        <v>1089</v>
      </c>
      <c r="B31" s="123" t="s">
        <v>1090</v>
      </c>
      <c r="C31" s="846">
        <v>24</v>
      </c>
      <c r="D31" s="842" t="s">
        <v>478</v>
      </c>
      <c r="E31" s="842" t="s">
        <v>1244</v>
      </c>
      <c r="F31" s="864"/>
    </row>
    <row r="32" spans="1:6" x14ac:dyDescent="0.2">
      <c r="A32" s="123"/>
      <c r="B32" s="123"/>
      <c r="C32" s="845">
        <v>25</v>
      </c>
      <c r="D32" s="842" t="s">
        <v>794</v>
      </c>
      <c r="E32" s="842" t="s">
        <v>1091</v>
      </c>
      <c r="F32" s="864"/>
    </row>
    <row r="33" spans="1:6" x14ac:dyDescent="0.2">
      <c r="A33" s="123" t="s">
        <v>1092</v>
      </c>
      <c r="B33" s="123" t="s">
        <v>1093</v>
      </c>
      <c r="C33" s="846">
        <v>26</v>
      </c>
      <c r="D33" s="842" t="s">
        <v>500</v>
      </c>
      <c r="E33" s="842" t="s">
        <v>1094</v>
      </c>
      <c r="F33" s="864"/>
    </row>
    <row r="34" spans="1:6" x14ac:dyDescent="0.2">
      <c r="A34" s="123"/>
      <c r="B34" s="123"/>
      <c r="C34" s="846">
        <v>27</v>
      </c>
      <c r="D34" s="842" t="s">
        <v>501</v>
      </c>
      <c r="E34" s="842" t="s">
        <v>1237</v>
      </c>
      <c r="F34" s="864"/>
    </row>
    <row r="35" spans="1:6" x14ac:dyDescent="0.2">
      <c r="A35" s="123"/>
      <c r="B35" s="123"/>
      <c r="C35" s="846">
        <v>28</v>
      </c>
      <c r="D35" s="842" t="s">
        <v>502</v>
      </c>
      <c r="E35" s="842" t="s">
        <v>1095</v>
      </c>
      <c r="F35" s="864"/>
    </row>
    <row r="36" spans="1:6" x14ac:dyDescent="0.2">
      <c r="A36" s="123"/>
      <c r="B36" s="123" t="s">
        <v>510</v>
      </c>
      <c r="C36" s="845">
        <v>29</v>
      </c>
      <c r="D36" s="842" t="s">
        <v>506</v>
      </c>
      <c r="E36" s="842" t="s">
        <v>1292</v>
      </c>
      <c r="F36" s="864"/>
    </row>
    <row r="37" spans="1:6" x14ac:dyDescent="0.2">
      <c r="A37" s="123"/>
      <c r="B37" s="123"/>
      <c r="C37" s="846">
        <v>30</v>
      </c>
      <c r="D37" s="842" t="s">
        <v>507</v>
      </c>
      <c r="E37" s="842" t="s">
        <v>1293</v>
      </c>
      <c r="F37" s="864"/>
    </row>
    <row r="38" spans="1:6" ht="38.25" x14ac:dyDescent="0.2">
      <c r="A38" s="123"/>
      <c r="B38" s="123"/>
      <c r="C38" s="846">
        <v>31</v>
      </c>
      <c r="D38" s="842" t="s">
        <v>1005</v>
      </c>
      <c r="E38" s="842" t="s">
        <v>1294</v>
      </c>
      <c r="F38" s="864"/>
    </row>
    <row r="39" spans="1:6" ht="38.25" x14ac:dyDescent="0.2">
      <c r="A39" s="123"/>
      <c r="B39" s="123" t="s">
        <v>512</v>
      </c>
      <c r="C39" s="846">
        <v>32</v>
      </c>
      <c r="D39" s="842" t="s">
        <v>513</v>
      </c>
      <c r="E39" s="842" t="s">
        <v>1295</v>
      </c>
      <c r="F39" s="864"/>
    </row>
    <row r="40" spans="1:6" ht="38.25" x14ac:dyDescent="0.2">
      <c r="A40" s="123"/>
      <c r="B40" s="123"/>
      <c r="C40" s="845">
        <v>33</v>
      </c>
      <c r="D40" s="842" t="s">
        <v>513</v>
      </c>
      <c r="E40" s="842" t="s">
        <v>1096</v>
      </c>
      <c r="F40" s="864"/>
    </row>
    <row r="41" spans="1:6" x14ac:dyDescent="0.2">
      <c r="A41" s="123"/>
      <c r="B41" s="123"/>
      <c r="C41" s="845">
        <v>34</v>
      </c>
      <c r="D41" s="862" t="s">
        <v>498</v>
      </c>
      <c r="E41" s="862" t="s">
        <v>498</v>
      </c>
      <c r="F41" s="864"/>
    </row>
    <row r="42" spans="1:6" x14ac:dyDescent="0.2">
      <c r="A42" s="123" t="s">
        <v>1097</v>
      </c>
      <c r="B42" s="123"/>
      <c r="C42" s="846">
        <v>35</v>
      </c>
      <c r="D42" s="842" t="s">
        <v>795</v>
      </c>
      <c r="E42" s="842" t="s">
        <v>1278</v>
      </c>
      <c r="F42" s="864"/>
    </row>
    <row r="43" spans="1:6" x14ac:dyDescent="0.2">
      <c r="A43" s="123" t="s">
        <v>1092</v>
      </c>
      <c r="B43" s="123" t="s">
        <v>488</v>
      </c>
      <c r="C43" s="845">
        <v>36</v>
      </c>
      <c r="D43" s="842" t="s">
        <v>489</v>
      </c>
      <c r="E43" s="842" t="s">
        <v>1098</v>
      </c>
      <c r="F43" s="864"/>
    </row>
    <row r="44" spans="1:6" x14ac:dyDescent="0.2">
      <c r="A44" s="123"/>
      <c r="B44" s="123"/>
      <c r="C44" s="845">
        <v>37</v>
      </c>
      <c r="D44" s="842" t="s">
        <v>490</v>
      </c>
      <c r="E44" s="842" t="s">
        <v>1099</v>
      </c>
      <c r="F44" s="864"/>
    </row>
    <row r="45" spans="1:6" ht="25.5" x14ac:dyDescent="0.2">
      <c r="A45" s="123"/>
      <c r="B45" s="123" t="s">
        <v>511</v>
      </c>
      <c r="C45" s="846">
        <v>38</v>
      </c>
      <c r="D45" s="842" t="s">
        <v>499</v>
      </c>
      <c r="E45" s="842" t="s">
        <v>1296</v>
      </c>
      <c r="F45" s="864"/>
    </row>
    <row r="46" spans="1:6" x14ac:dyDescent="0.2">
      <c r="A46" s="123"/>
      <c r="B46" s="123"/>
      <c r="C46" s="845">
        <v>39</v>
      </c>
      <c r="D46" s="862" t="s">
        <v>498</v>
      </c>
      <c r="E46" s="862" t="s">
        <v>498</v>
      </c>
      <c r="F46" s="864"/>
    </row>
    <row r="47" spans="1:6" x14ac:dyDescent="0.2">
      <c r="A47" s="123" t="s">
        <v>1100</v>
      </c>
      <c r="B47" s="123" t="s">
        <v>1101</v>
      </c>
      <c r="C47" s="845">
        <v>40</v>
      </c>
      <c r="D47" s="842" t="s">
        <v>477</v>
      </c>
      <c r="E47" s="842" t="s">
        <v>1102</v>
      </c>
      <c r="F47" s="864"/>
    </row>
    <row r="48" spans="1:6" x14ac:dyDescent="0.2">
      <c r="A48" s="123"/>
      <c r="B48" s="123"/>
      <c r="C48" s="846">
        <v>41</v>
      </c>
      <c r="D48" s="842" t="s">
        <v>480</v>
      </c>
      <c r="E48" s="842" t="s">
        <v>1103</v>
      </c>
      <c r="F48" s="864"/>
    </row>
    <row r="49" spans="1:6" x14ac:dyDescent="0.2">
      <c r="A49" s="123"/>
      <c r="B49" s="123"/>
      <c r="C49" s="845">
        <v>42</v>
      </c>
      <c r="D49" s="842" t="s">
        <v>479</v>
      </c>
      <c r="E49" s="842" t="s">
        <v>1104</v>
      </c>
      <c r="F49" s="864"/>
    </row>
    <row r="50" spans="1:6" x14ac:dyDescent="0.2">
      <c r="A50" s="123"/>
      <c r="B50" s="123"/>
      <c r="C50" s="845">
        <v>43</v>
      </c>
      <c r="D50" s="842" t="s">
        <v>484</v>
      </c>
      <c r="E50" s="842" t="s">
        <v>1105</v>
      </c>
      <c r="F50" s="864"/>
    </row>
    <row r="51" spans="1:6" x14ac:dyDescent="0.2">
      <c r="A51" s="123"/>
      <c r="B51" s="123"/>
      <c r="C51" s="846">
        <v>44</v>
      </c>
      <c r="D51" s="842" t="s">
        <v>481</v>
      </c>
      <c r="E51" s="842" t="s">
        <v>1106</v>
      </c>
      <c r="F51" s="864"/>
    </row>
    <row r="52" spans="1:6" x14ac:dyDescent="0.2">
      <c r="A52" s="123"/>
      <c r="B52" s="123" t="s">
        <v>328</v>
      </c>
      <c r="C52" s="845">
        <v>45</v>
      </c>
      <c r="D52" s="842" t="s">
        <v>486</v>
      </c>
      <c r="E52" s="842" t="s">
        <v>1297</v>
      </c>
      <c r="F52" s="864"/>
    </row>
    <row r="53" spans="1:6" x14ac:dyDescent="0.2">
      <c r="A53" s="123"/>
      <c r="B53" s="123" t="s">
        <v>1107</v>
      </c>
      <c r="C53" s="845">
        <v>46</v>
      </c>
      <c r="D53" s="842" t="s">
        <v>999</v>
      </c>
      <c r="E53" s="842" t="s">
        <v>1298</v>
      </c>
      <c r="F53" s="864"/>
    </row>
    <row r="54" spans="1:6" x14ac:dyDescent="0.2">
      <c r="A54" s="123"/>
      <c r="B54" s="123" t="s">
        <v>1108</v>
      </c>
      <c r="C54" s="846">
        <v>47</v>
      </c>
      <c r="D54" s="842" t="s">
        <v>992</v>
      </c>
      <c r="E54" s="842" t="s">
        <v>1109</v>
      </c>
      <c r="F54" s="864"/>
    </row>
    <row r="55" spans="1:6" x14ac:dyDescent="0.2">
      <c r="A55" s="123"/>
      <c r="B55" s="123"/>
      <c r="C55" s="845">
        <v>48</v>
      </c>
      <c r="D55" s="842" t="s">
        <v>491</v>
      </c>
      <c r="E55" s="842" t="s">
        <v>1110</v>
      </c>
      <c r="F55" s="864"/>
    </row>
    <row r="56" spans="1:6" x14ac:dyDescent="0.2">
      <c r="A56" s="123"/>
      <c r="B56" s="123"/>
      <c r="C56" s="845">
        <v>49</v>
      </c>
      <c r="D56" s="842" t="s">
        <v>799</v>
      </c>
      <c r="E56" s="842" t="s">
        <v>1299</v>
      </c>
      <c r="F56" s="864"/>
    </row>
    <row r="57" spans="1:6" x14ac:dyDescent="0.2">
      <c r="A57" s="123"/>
      <c r="B57" s="123" t="s">
        <v>1111</v>
      </c>
      <c r="C57" s="846">
        <v>50</v>
      </c>
      <c r="D57" s="842" t="s">
        <v>396</v>
      </c>
      <c r="E57" s="842" t="s">
        <v>1112</v>
      </c>
      <c r="F57" s="864"/>
    </row>
    <row r="58" spans="1:6" x14ac:dyDescent="0.2">
      <c r="A58" s="123"/>
      <c r="B58" s="123"/>
      <c r="C58" s="845">
        <v>51</v>
      </c>
      <c r="D58" s="842" t="s">
        <v>1245</v>
      </c>
      <c r="E58" s="842" t="s">
        <v>1300</v>
      </c>
      <c r="F58" s="864"/>
    </row>
    <row r="59" spans="1:6" x14ac:dyDescent="0.2">
      <c r="A59" s="123"/>
      <c r="B59" s="123" t="s">
        <v>1113</v>
      </c>
      <c r="C59" s="846">
        <v>52</v>
      </c>
      <c r="D59" s="842" t="s">
        <v>1114</v>
      </c>
      <c r="E59" s="842" t="s">
        <v>1115</v>
      </c>
      <c r="F59" s="864"/>
    </row>
    <row r="60" spans="1:6" x14ac:dyDescent="0.2">
      <c r="A60" s="123"/>
      <c r="B60" s="123" t="s">
        <v>1116</v>
      </c>
      <c r="C60" s="845">
        <v>53</v>
      </c>
      <c r="D60" s="842" t="s">
        <v>1284</v>
      </c>
      <c r="E60" s="842" t="s">
        <v>1285</v>
      </c>
      <c r="F60" s="864"/>
    </row>
    <row r="61" spans="1:6" ht="38.25" x14ac:dyDescent="0.2">
      <c r="A61" s="123"/>
      <c r="B61" s="123" t="s">
        <v>1117</v>
      </c>
      <c r="C61" s="846">
        <v>54</v>
      </c>
      <c r="D61" s="842" t="s">
        <v>1118</v>
      </c>
      <c r="E61" s="842" t="s">
        <v>1301</v>
      </c>
      <c r="F61" s="864"/>
    </row>
    <row r="62" spans="1:6" x14ac:dyDescent="0.2">
      <c r="A62" s="123"/>
      <c r="B62" s="123" t="s">
        <v>1119</v>
      </c>
      <c r="C62" s="845">
        <v>55</v>
      </c>
      <c r="D62" s="842" t="s">
        <v>993</v>
      </c>
      <c r="E62" s="842" t="s">
        <v>1279</v>
      </c>
      <c r="F62" s="864"/>
    </row>
    <row r="63" spans="1:6" x14ac:dyDescent="0.2">
      <c r="A63" s="123"/>
      <c r="B63" s="123"/>
      <c r="C63" s="846">
        <v>56</v>
      </c>
      <c r="D63" s="842" t="s">
        <v>1000</v>
      </c>
      <c r="E63" s="842" t="s">
        <v>1120</v>
      </c>
      <c r="F63" s="864"/>
    </row>
    <row r="64" spans="1:6" x14ac:dyDescent="0.2">
      <c r="A64" s="123"/>
      <c r="B64" s="123"/>
      <c r="C64" s="845">
        <v>57</v>
      </c>
      <c r="D64" s="842" t="s">
        <v>517</v>
      </c>
      <c r="E64" s="842" t="s">
        <v>1121</v>
      </c>
      <c r="F64" s="864"/>
    </row>
    <row r="65" spans="1:6" x14ac:dyDescent="0.2">
      <c r="A65" s="123"/>
      <c r="B65" s="123"/>
      <c r="C65" s="846">
        <v>58</v>
      </c>
      <c r="D65" s="842" t="s">
        <v>483</v>
      </c>
      <c r="E65" s="842" t="s">
        <v>1122</v>
      </c>
      <c r="F65" s="864"/>
    </row>
    <row r="66" spans="1:6" x14ac:dyDescent="0.2">
      <c r="A66" s="123"/>
      <c r="B66" s="123"/>
      <c r="C66" s="845">
        <v>59</v>
      </c>
      <c r="D66" s="842" t="s">
        <v>487</v>
      </c>
      <c r="E66" s="842" t="s">
        <v>1123</v>
      </c>
      <c r="F66" s="864"/>
    </row>
    <row r="67" spans="1:6" x14ac:dyDescent="0.2">
      <c r="A67" s="123"/>
      <c r="B67" s="123" t="s">
        <v>328</v>
      </c>
      <c r="C67" s="846">
        <v>60</v>
      </c>
      <c r="D67" s="842" t="s">
        <v>425</v>
      </c>
      <c r="E67" s="842" t="s">
        <v>1124</v>
      </c>
      <c r="F67" s="864"/>
    </row>
    <row r="68" spans="1:6" x14ac:dyDescent="0.2">
      <c r="A68" s="123"/>
      <c r="B68" s="123" t="s">
        <v>1107</v>
      </c>
      <c r="C68" s="845">
        <v>61</v>
      </c>
      <c r="D68" s="842" t="s">
        <v>1246</v>
      </c>
      <c r="E68" s="842" t="s">
        <v>1302</v>
      </c>
      <c r="F68" s="864"/>
    </row>
    <row r="69" spans="1:6" x14ac:dyDescent="0.2">
      <c r="A69" s="123"/>
      <c r="B69" s="123"/>
      <c r="C69" s="846">
        <v>62</v>
      </c>
      <c r="D69" s="842" t="s">
        <v>487</v>
      </c>
      <c r="E69" s="842" t="s">
        <v>1123</v>
      </c>
      <c r="F69" s="864"/>
    </row>
    <row r="70" spans="1:6" x14ac:dyDescent="0.2">
      <c r="A70" s="123"/>
      <c r="B70" s="123" t="s">
        <v>328</v>
      </c>
      <c r="C70" s="845">
        <v>63</v>
      </c>
      <c r="D70" s="842" t="s">
        <v>509</v>
      </c>
      <c r="E70" s="842" t="s">
        <v>1125</v>
      </c>
      <c r="F70" s="864"/>
    </row>
    <row r="71" spans="1:6" x14ac:dyDescent="0.2">
      <c r="A71" s="123"/>
      <c r="B71" s="123" t="s">
        <v>1107</v>
      </c>
      <c r="C71" s="846">
        <v>64</v>
      </c>
      <c r="D71" s="842" t="s">
        <v>722</v>
      </c>
      <c r="E71" s="842" t="s">
        <v>1088</v>
      </c>
      <c r="F71" s="864"/>
    </row>
    <row r="72" spans="1:6" x14ac:dyDescent="0.2">
      <c r="A72" s="123"/>
      <c r="B72" s="123"/>
      <c r="C72" s="845">
        <v>65</v>
      </c>
      <c r="D72" s="842" t="s">
        <v>995</v>
      </c>
      <c r="E72" s="842" t="s">
        <v>1126</v>
      </c>
      <c r="F72" s="864"/>
    </row>
    <row r="73" spans="1:6" x14ac:dyDescent="0.2">
      <c r="A73" s="123"/>
      <c r="B73" s="123" t="s">
        <v>143</v>
      </c>
      <c r="C73" s="846">
        <v>66</v>
      </c>
      <c r="D73" s="842" t="s">
        <v>1127</v>
      </c>
      <c r="E73" s="842" t="s">
        <v>1128</v>
      </c>
      <c r="F73" s="864"/>
    </row>
    <row r="74" spans="1:6" x14ac:dyDescent="0.2">
      <c r="A74" s="123"/>
      <c r="B74" s="123"/>
      <c r="C74" s="845">
        <v>67</v>
      </c>
      <c r="D74" s="842" t="s">
        <v>1129</v>
      </c>
      <c r="E74" s="842" t="s">
        <v>1130</v>
      </c>
      <c r="F74" s="864"/>
    </row>
    <row r="75" spans="1:6" x14ac:dyDescent="0.2">
      <c r="A75" s="123"/>
      <c r="B75" s="123"/>
      <c r="C75" s="846">
        <v>68</v>
      </c>
      <c r="D75" s="842" t="s">
        <v>1131</v>
      </c>
      <c r="E75" s="842" t="s">
        <v>1124</v>
      </c>
      <c r="F75" s="864"/>
    </row>
    <row r="76" spans="1:6" x14ac:dyDescent="0.2">
      <c r="A76" s="123"/>
      <c r="B76" s="123" t="s">
        <v>1132</v>
      </c>
      <c r="C76" s="845">
        <v>69</v>
      </c>
      <c r="D76" s="842" t="s">
        <v>800</v>
      </c>
      <c r="E76" s="842" t="s">
        <v>1133</v>
      </c>
      <c r="F76" s="864"/>
    </row>
    <row r="77" spans="1:6" x14ac:dyDescent="0.2">
      <c r="A77" s="123"/>
      <c r="B77" s="123"/>
      <c r="C77" s="846">
        <v>70</v>
      </c>
      <c r="D77" s="842" t="s">
        <v>524</v>
      </c>
      <c r="E77" s="842" t="s">
        <v>1134</v>
      </c>
      <c r="F77" s="864"/>
    </row>
    <row r="78" spans="1:6" x14ac:dyDescent="0.2">
      <c r="A78" s="123"/>
      <c r="B78" s="123"/>
      <c r="C78" s="845">
        <v>71</v>
      </c>
      <c r="D78" s="842" t="s">
        <v>920</v>
      </c>
      <c r="E78" s="842" t="s">
        <v>1135</v>
      </c>
      <c r="F78" s="864"/>
    </row>
    <row r="79" spans="1:6" x14ac:dyDescent="0.2">
      <c r="A79" s="123"/>
      <c r="B79" s="123"/>
      <c r="C79" s="846">
        <v>72</v>
      </c>
      <c r="D79" s="842" t="s">
        <v>525</v>
      </c>
      <c r="E79" s="842" t="s">
        <v>1136</v>
      </c>
      <c r="F79" s="864"/>
    </row>
    <row r="80" spans="1:6" x14ac:dyDescent="0.2">
      <c r="A80" s="123" t="s">
        <v>1137</v>
      </c>
      <c r="B80" s="123" t="s">
        <v>1138</v>
      </c>
      <c r="C80" s="845">
        <v>73</v>
      </c>
      <c r="D80" s="842" t="s">
        <v>531</v>
      </c>
      <c r="E80" s="842" t="s">
        <v>1139</v>
      </c>
      <c r="F80" s="864"/>
    </row>
    <row r="81" spans="1:6" x14ac:dyDescent="0.2">
      <c r="A81" s="123"/>
      <c r="B81" s="123"/>
      <c r="C81" s="846">
        <v>74</v>
      </c>
      <c r="D81" s="842" t="s">
        <v>532</v>
      </c>
      <c r="E81" s="842" t="s">
        <v>1140</v>
      </c>
      <c r="F81" s="864"/>
    </row>
    <row r="82" spans="1:6" x14ac:dyDescent="0.2">
      <c r="A82" s="123" t="s">
        <v>1141</v>
      </c>
      <c r="B82" s="123" t="s">
        <v>1142</v>
      </c>
      <c r="C82" s="845">
        <v>75</v>
      </c>
      <c r="D82" s="842" t="s">
        <v>722</v>
      </c>
      <c r="E82" s="842" t="s">
        <v>1088</v>
      </c>
      <c r="F82" s="864"/>
    </row>
    <row r="83" spans="1:6" x14ac:dyDescent="0.2">
      <c r="A83" s="123"/>
      <c r="B83" s="123" t="s">
        <v>1143</v>
      </c>
      <c r="C83" s="846">
        <v>76</v>
      </c>
      <c r="D83" s="842" t="s">
        <v>998</v>
      </c>
      <c r="E83" s="842" t="s">
        <v>1280</v>
      </c>
      <c r="F83" s="864"/>
    </row>
    <row r="84" spans="1:6" x14ac:dyDescent="0.2">
      <c r="A84" s="123"/>
      <c r="B84" s="123" t="s">
        <v>1144</v>
      </c>
      <c r="C84" s="845">
        <v>77</v>
      </c>
      <c r="D84" s="842" t="s">
        <v>724</v>
      </c>
      <c r="E84" s="842" t="s">
        <v>1145</v>
      </c>
      <c r="F84" s="864"/>
    </row>
    <row r="85" spans="1:6" x14ac:dyDescent="0.2">
      <c r="A85" s="123"/>
      <c r="B85" s="123" t="s">
        <v>1146</v>
      </c>
      <c r="C85" s="846">
        <v>78</v>
      </c>
      <c r="D85" s="842" t="s">
        <v>997</v>
      </c>
      <c r="E85" s="842" t="s">
        <v>1147</v>
      </c>
      <c r="F85" s="864"/>
    </row>
    <row r="86" spans="1:6" x14ac:dyDescent="0.2">
      <c r="A86" s="123" t="s">
        <v>1148</v>
      </c>
      <c r="B86" s="123" t="s">
        <v>1149</v>
      </c>
      <c r="C86" s="845">
        <v>79</v>
      </c>
      <c r="D86" s="842" t="s">
        <v>538</v>
      </c>
      <c r="E86" s="842" t="s">
        <v>1150</v>
      </c>
      <c r="F86" s="864"/>
    </row>
    <row r="87" spans="1:6" x14ac:dyDescent="0.2">
      <c r="A87" s="123"/>
      <c r="B87" s="123"/>
      <c r="C87" s="846">
        <v>80</v>
      </c>
      <c r="D87" s="842" t="s">
        <v>539</v>
      </c>
      <c r="E87" s="842" t="s">
        <v>1151</v>
      </c>
      <c r="F87" s="864"/>
    </row>
    <row r="88" spans="1:6" x14ac:dyDescent="0.2">
      <c r="A88" s="123" t="s">
        <v>1152</v>
      </c>
      <c r="B88" s="123" t="s">
        <v>1153</v>
      </c>
      <c r="C88" s="845">
        <v>81</v>
      </c>
      <c r="D88" s="842" t="s">
        <v>526</v>
      </c>
      <c r="E88" s="842" t="s">
        <v>1281</v>
      </c>
      <c r="F88" s="864"/>
    </row>
    <row r="89" spans="1:6" x14ac:dyDescent="0.2">
      <c r="A89" s="123"/>
      <c r="B89" s="123"/>
      <c r="C89" s="846">
        <v>82</v>
      </c>
      <c r="D89" s="842" t="s">
        <v>527</v>
      </c>
      <c r="E89" s="842" t="s">
        <v>1303</v>
      </c>
      <c r="F89" s="864"/>
    </row>
    <row r="90" spans="1:6" x14ac:dyDescent="0.2">
      <c r="A90" s="123"/>
      <c r="B90" s="123"/>
      <c r="C90" s="845">
        <v>83</v>
      </c>
      <c r="D90" s="842" t="s">
        <v>541</v>
      </c>
      <c r="E90" s="842" t="s">
        <v>1282</v>
      </c>
      <c r="F90" s="864"/>
    </row>
    <row r="91" spans="1:6" x14ac:dyDescent="0.2">
      <c r="A91" s="123"/>
      <c r="B91" s="123"/>
      <c r="C91" s="846">
        <v>84</v>
      </c>
      <c r="D91" s="842" t="s">
        <v>528</v>
      </c>
      <c r="E91" s="842" t="s">
        <v>1304</v>
      </c>
      <c r="F91" s="864"/>
    </row>
    <row r="92" spans="1:6" x14ac:dyDescent="0.2">
      <c r="A92" s="123"/>
      <c r="B92" s="123"/>
      <c r="C92" s="845">
        <v>85</v>
      </c>
      <c r="D92" s="842" t="s">
        <v>721</v>
      </c>
      <c r="E92" s="842" t="s">
        <v>1305</v>
      </c>
      <c r="F92" s="864"/>
    </row>
    <row r="93" spans="1:6" x14ac:dyDescent="0.2">
      <c r="A93" s="123"/>
      <c r="B93" s="123"/>
      <c r="C93" s="846">
        <v>86</v>
      </c>
      <c r="D93" s="842" t="s">
        <v>723</v>
      </c>
      <c r="E93" s="842" t="s">
        <v>1154</v>
      </c>
      <c r="F93" s="864"/>
    </row>
    <row r="94" spans="1:6" x14ac:dyDescent="0.2">
      <c r="A94" s="123"/>
      <c r="B94" s="123" t="s">
        <v>1142</v>
      </c>
      <c r="C94" s="845">
        <v>87</v>
      </c>
      <c r="D94" s="842" t="s">
        <v>1155</v>
      </c>
      <c r="E94" s="842" t="s">
        <v>1156</v>
      </c>
      <c r="F94" s="864"/>
    </row>
    <row r="95" spans="1:6" x14ac:dyDescent="0.2">
      <c r="A95" s="123"/>
      <c r="B95" s="123" t="s">
        <v>1247</v>
      </c>
      <c r="C95" s="846">
        <v>88</v>
      </c>
      <c r="D95" s="842" t="s">
        <v>271</v>
      </c>
      <c r="E95" s="842" t="s">
        <v>1248</v>
      </c>
      <c r="F95" s="864"/>
    </row>
    <row r="96" spans="1:6" x14ac:dyDescent="0.2">
      <c r="A96" s="123"/>
      <c r="B96" s="123"/>
      <c r="C96" s="845">
        <v>89</v>
      </c>
      <c r="D96" s="842" t="s">
        <v>272</v>
      </c>
      <c r="E96" s="842" t="s">
        <v>1249</v>
      </c>
      <c r="F96" s="864"/>
    </row>
    <row r="97" spans="1:6" x14ac:dyDescent="0.2">
      <c r="A97" s="123"/>
      <c r="B97" s="123"/>
      <c r="C97" s="846">
        <v>90</v>
      </c>
      <c r="D97" s="842" t="s">
        <v>273</v>
      </c>
      <c r="E97" s="842" t="s">
        <v>1250</v>
      </c>
      <c r="F97" s="864"/>
    </row>
    <row r="98" spans="1:6" x14ac:dyDescent="0.2">
      <c r="A98" s="123"/>
      <c r="B98" s="123"/>
      <c r="C98" s="845">
        <v>91</v>
      </c>
      <c r="D98" s="842" t="s">
        <v>274</v>
      </c>
      <c r="E98" s="842" t="s">
        <v>1251</v>
      </c>
      <c r="F98" s="864"/>
    </row>
    <row r="99" spans="1:6" x14ac:dyDescent="0.2">
      <c r="A99" s="123"/>
      <c r="B99" s="123"/>
      <c r="C99" s="846">
        <v>92</v>
      </c>
      <c r="D99" s="842" t="s">
        <v>275</v>
      </c>
      <c r="E99" s="842" t="s">
        <v>1252</v>
      </c>
      <c r="F99" s="864"/>
    </row>
    <row r="100" spans="1:6" x14ac:dyDescent="0.2">
      <c r="A100" s="123"/>
      <c r="B100" s="123"/>
      <c r="C100" s="845">
        <v>93</v>
      </c>
      <c r="D100" s="842" t="s">
        <v>276</v>
      </c>
      <c r="E100" s="842" t="s">
        <v>1272</v>
      </c>
      <c r="F100" s="864"/>
    </row>
    <row r="101" spans="1:6" x14ac:dyDescent="0.2">
      <c r="A101" s="123"/>
      <c r="B101" s="123" t="s">
        <v>1157</v>
      </c>
      <c r="C101" s="846">
        <v>94</v>
      </c>
      <c r="D101" s="842" t="s">
        <v>979</v>
      </c>
      <c r="E101" s="842" t="s">
        <v>1276</v>
      </c>
      <c r="F101" s="864"/>
    </row>
    <row r="102" spans="1:6" x14ac:dyDescent="0.2">
      <c r="A102" s="123"/>
      <c r="B102" s="123" t="s">
        <v>1158</v>
      </c>
      <c r="C102" s="845">
        <v>95</v>
      </c>
      <c r="D102" s="842" t="s">
        <v>980</v>
      </c>
      <c r="E102" s="842" t="s">
        <v>1283</v>
      </c>
      <c r="F102" s="864"/>
    </row>
    <row r="103" spans="1:6" x14ac:dyDescent="0.2">
      <c r="A103" s="123" t="s">
        <v>1159</v>
      </c>
      <c r="B103" s="123" t="s">
        <v>1160</v>
      </c>
      <c r="C103" s="846">
        <v>96</v>
      </c>
      <c r="D103" s="842" t="s">
        <v>981</v>
      </c>
      <c r="E103" s="842" t="s">
        <v>1306</v>
      </c>
      <c r="F103" s="864"/>
    </row>
    <row r="104" spans="1:6" x14ac:dyDescent="0.2">
      <c r="A104" s="123"/>
      <c r="B104" s="123" t="s">
        <v>1161</v>
      </c>
      <c r="C104" s="845">
        <v>97</v>
      </c>
      <c r="D104" s="842" t="s">
        <v>982</v>
      </c>
      <c r="E104" s="842" t="s">
        <v>1162</v>
      </c>
      <c r="F104" s="864"/>
    </row>
    <row r="105" spans="1:6" x14ac:dyDescent="0.2">
      <c r="A105" s="123"/>
      <c r="B105" s="123"/>
      <c r="C105" s="846">
        <v>98</v>
      </c>
      <c r="D105" s="842" t="s">
        <v>521</v>
      </c>
      <c r="E105" s="842" t="s">
        <v>1163</v>
      </c>
      <c r="F105" s="864"/>
    </row>
    <row r="106" spans="1:6" ht="38.25" x14ac:dyDescent="0.2">
      <c r="A106" s="123"/>
      <c r="B106" s="123"/>
      <c r="C106" s="845">
        <v>99</v>
      </c>
      <c r="D106" s="842" t="s">
        <v>983</v>
      </c>
      <c r="E106" s="842" t="s">
        <v>1307</v>
      </c>
      <c r="F106" s="864"/>
    </row>
    <row r="107" spans="1:6" x14ac:dyDescent="0.2">
      <c r="A107" s="123"/>
      <c r="B107" s="123"/>
      <c r="C107" s="846">
        <v>100</v>
      </c>
      <c r="D107" s="842" t="s">
        <v>522</v>
      </c>
      <c r="E107" s="842" t="s">
        <v>1164</v>
      </c>
      <c r="F107" s="864"/>
    </row>
    <row r="108" spans="1:6" ht="38.25" x14ac:dyDescent="0.2">
      <c r="A108" s="123"/>
      <c r="B108" s="123"/>
      <c r="C108" s="845">
        <v>101</v>
      </c>
      <c r="D108" s="842" t="s">
        <v>783</v>
      </c>
      <c r="E108" s="842" t="s">
        <v>1308</v>
      </c>
      <c r="F108" s="864"/>
    </row>
    <row r="109" spans="1:6" x14ac:dyDescent="0.2">
      <c r="A109" s="123"/>
      <c r="B109" s="123"/>
      <c r="C109" s="846">
        <v>102</v>
      </c>
      <c r="D109" s="842" t="s">
        <v>523</v>
      </c>
      <c r="E109" s="842" t="s">
        <v>1165</v>
      </c>
      <c r="F109" s="864"/>
    </row>
    <row r="110" spans="1:6" ht="38.25" x14ac:dyDescent="0.2">
      <c r="A110" s="123"/>
      <c r="B110" s="123"/>
      <c r="C110" s="845">
        <v>103</v>
      </c>
      <c r="D110" s="842" t="s">
        <v>1166</v>
      </c>
      <c r="E110" s="842" t="s">
        <v>1309</v>
      </c>
      <c r="F110" s="864"/>
    </row>
    <row r="111" spans="1:6" x14ac:dyDescent="0.2">
      <c r="A111" s="123" t="s">
        <v>1152</v>
      </c>
      <c r="B111" s="123" t="s">
        <v>1167</v>
      </c>
      <c r="C111" s="846">
        <v>104</v>
      </c>
      <c r="D111" s="842" t="s">
        <v>984</v>
      </c>
      <c r="E111" s="842" t="s">
        <v>1310</v>
      </c>
      <c r="F111" s="864"/>
    </row>
    <row r="112" spans="1:6" x14ac:dyDescent="0.2">
      <c r="A112" s="123" t="s">
        <v>1159</v>
      </c>
      <c r="B112" s="123" t="s">
        <v>1168</v>
      </c>
      <c r="C112" s="845">
        <v>105</v>
      </c>
      <c r="D112" s="842" t="s">
        <v>504</v>
      </c>
      <c r="E112" s="842" t="s">
        <v>1169</v>
      </c>
      <c r="F112" s="864"/>
    </row>
    <row r="113" spans="1:6" ht="25.5" x14ac:dyDescent="0.2">
      <c r="A113" s="123"/>
      <c r="B113" s="123"/>
      <c r="C113" s="846">
        <v>106</v>
      </c>
      <c r="D113" s="842" t="s">
        <v>985</v>
      </c>
      <c r="E113" s="842" t="s">
        <v>1170</v>
      </c>
      <c r="F113" s="864"/>
    </row>
    <row r="114" spans="1:6" x14ac:dyDescent="0.2">
      <c r="A114" s="123"/>
      <c r="B114" s="123"/>
      <c r="C114" s="845">
        <v>107</v>
      </c>
      <c r="D114" s="842" t="s">
        <v>505</v>
      </c>
      <c r="E114" s="842" t="s">
        <v>1171</v>
      </c>
      <c r="F114" s="864"/>
    </row>
    <row r="115" spans="1:6" ht="25.5" x14ac:dyDescent="0.2">
      <c r="A115" s="123"/>
      <c r="B115" s="123"/>
      <c r="C115" s="846">
        <v>108</v>
      </c>
      <c r="D115" s="842" t="s">
        <v>1035</v>
      </c>
      <c r="E115" s="842" t="s">
        <v>1311</v>
      </c>
      <c r="F115" s="864"/>
    </row>
    <row r="116" spans="1:6" x14ac:dyDescent="0.2">
      <c r="A116" s="123" t="s">
        <v>1152</v>
      </c>
      <c r="B116" s="123" t="s">
        <v>1172</v>
      </c>
      <c r="C116" s="845">
        <v>109</v>
      </c>
      <c r="D116" s="842" t="s">
        <v>988</v>
      </c>
      <c r="E116" s="842" t="s">
        <v>1312</v>
      </c>
      <c r="F116" s="864"/>
    </row>
    <row r="117" spans="1:6" ht="25.5" x14ac:dyDescent="0.2">
      <c r="A117" s="123"/>
      <c r="B117" s="123"/>
      <c r="C117" s="846">
        <v>110</v>
      </c>
      <c r="D117" s="842" t="s">
        <v>986</v>
      </c>
      <c r="E117" s="842" t="s">
        <v>1313</v>
      </c>
      <c r="F117" s="864"/>
    </row>
    <row r="118" spans="1:6" x14ac:dyDescent="0.2">
      <c r="A118" s="123"/>
      <c r="B118" s="123"/>
      <c r="C118" s="845">
        <v>111</v>
      </c>
      <c r="D118" s="842" t="s">
        <v>987</v>
      </c>
      <c r="E118" s="842" t="s">
        <v>1314</v>
      </c>
      <c r="F118" s="864"/>
    </row>
    <row r="119" spans="1:6" ht="25.5" x14ac:dyDescent="0.2">
      <c r="A119" s="123"/>
      <c r="B119" s="123" t="s">
        <v>1173</v>
      </c>
      <c r="C119" s="846">
        <v>112</v>
      </c>
      <c r="D119" s="842" t="s">
        <v>989</v>
      </c>
      <c r="E119" s="842" t="s">
        <v>1275</v>
      </c>
      <c r="F119" s="864"/>
    </row>
    <row r="120" spans="1:6" ht="63.75" x14ac:dyDescent="0.2">
      <c r="A120" s="847" t="s">
        <v>1137</v>
      </c>
      <c r="B120" s="847" t="s">
        <v>1174</v>
      </c>
      <c r="C120" s="845">
        <v>113</v>
      </c>
      <c r="D120" s="863" t="s">
        <v>1256</v>
      </c>
      <c r="E120" s="869" t="s">
        <v>1315</v>
      </c>
      <c r="F120" s="864"/>
    </row>
    <row r="121" spans="1:6" x14ac:dyDescent="0.2">
      <c r="A121" s="847"/>
      <c r="B121" s="847" t="s">
        <v>1253</v>
      </c>
      <c r="C121" s="846">
        <v>114</v>
      </c>
      <c r="D121" s="864" t="s">
        <v>255</v>
      </c>
      <c r="E121" s="842" t="s">
        <v>1204</v>
      </c>
      <c r="F121" s="864"/>
    </row>
    <row r="122" spans="1:6" x14ac:dyDescent="0.2">
      <c r="A122" s="847"/>
      <c r="B122" s="847"/>
      <c r="C122" s="845">
        <v>115</v>
      </c>
      <c r="D122" s="864" t="s">
        <v>230</v>
      </c>
      <c r="E122" s="864" t="s">
        <v>230</v>
      </c>
      <c r="F122" s="864"/>
    </row>
    <row r="123" spans="1:6" x14ac:dyDescent="0.2">
      <c r="A123" s="847"/>
      <c r="B123" s="847"/>
      <c r="C123" s="846">
        <v>116</v>
      </c>
      <c r="D123" s="864" t="s">
        <v>232</v>
      </c>
      <c r="E123" s="864" t="s">
        <v>232</v>
      </c>
      <c r="F123" s="864"/>
    </row>
    <row r="124" spans="1:6" x14ac:dyDescent="0.2">
      <c r="A124" s="847"/>
      <c r="B124" s="847"/>
      <c r="C124" s="845">
        <v>117</v>
      </c>
      <c r="D124" s="864" t="s">
        <v>287</v>
      </c>
      <c r="E124" s="842" t="s">
        <v>1200</v>
      </c>
      <c r="F124" s="864"/>
    </row>
    <row r="125" spans="1:6" x14ac:dyDescent="0.2">
      <c r="A125" s="847"/>
      <c r="B125" s="847"/>
      <c r="C125" s="846">
        <v>118</v>
      </c>
      <c r="D125" s="864" t="s">
        <v>1254</v>
      </c>
      <c r="E125" s="842" t="s">
        <v>1254</v>
      </c>
      <c r="F125" s="864"/>
    </row>
    <row r="126" spans="1:6" x14ac:dyDescent="0.2">
      <c r="A126" s="847"/>
      <c r="B126" s="847"/>
      <c r="C126" s="845">
        <v>119</v>
      </c>
      <c r="D126" s="864" t="s">
        <v>90</v>
      </c>
      <c r="E126" s="842" t="s">
        <v>1203</v>
      </c>
      <c r="F126" s="864"/>
    </row>
    <row r="127" spans="1:6" x14ac:dyDescent="0.2">
      <c r="A127" s="123" t="s">
        <v>1141</v>
      </c>
      <c r="B127" s="123" t="s">
        <v>1175</v>
      </c>
      <c r="C127" s="845">
        <v>120</v>
      </c>
      <c r="D127" s="842" t="s">
        <v>801</v>
      </c>
      <c r="E127" s="842" t="s">
        <v>1176</v>
      </c>
      <c r="F127" s="864"/>
    </row>
    <row r="128" spans="1:6" x14ac:dyDescent="0.2">
      <c r="A128" s="123"/>
      <c r="B128" s="123" t="s">
        <v>1177</v>
      </c>
      <c r="C128" s="846">
        <v>121</v>
      </c>
      <c r="D128" s="842" t="s">
        <v>426</v>
      </c>
      <c r="E128" s="842" t="s">
        <v>1316</v>
      </c>
      <c r="F128" s="864"/>
    </row>
    <row r="129" spans="1:6" x14ac:dyDescent="0.2">
      <c r="A129" s="123" t="s">
        <v>1178</v>
      </c>
      <c r="B129" s="123" t="s">
        <v>1179</v>
      </c>
      <c r="C129" s="845">
        <v>122</v>
      </c>
      <c r="D129" s="842" t="s">
        <v>936</v>
      </c>
      <c r="E129" s="842" t="s">
        <v>1180</v>
      </c>
      <c r="F129" s="864"/>
    </row>
    <row r="130" spans="1:6" x14ac:dyDescent="0.2">
      <c r="A130" s="123"/>
      <c r="B130" s="123" t="s">
        <v>1181</v>
      </c>
      <c r="C130" s="845">
        <v>123</v>
      </c>
      <c r="D130" s="842" t="s">
        <v>796</v>
      </c>
      <c r="E130" s="842" t="s">
        <v>1182</v>
      </c>
      <c r="F130" s="864"/>
    </row>
    <row r="131" spans="1:6" x14ac:dyDescent="0.2">
      <c r="A131" s="123"/>
      <c r="B131" s="123"/>
      <c r="C131" s="846">
        <v>124</v>
      </c>
      <c r="D131" s="842" t="s">
        <v>937</v>
      </c>
      <c r="E131" s="842" t="s">
        <v>1317</v>
      </c>
      <c r="F131" s="864"/>
    </row>
    <row r="132" spans="1:6" ht="25.5" x14ac:dyDescent="0.2">
      <c r="A132" s="123"/>
      <c r="B132" s="123" t="s">
        <v>1181</v>
      </c>
      <c r="C132" s="845">
        <v>125</v>
      </c>
      <c r="D132" s="842" t="s">
        <v>1183</v>
      </c>
      <c r="E132" s="842" t="s">
        <v>1318</v>
      </c>
      <c r="F132" s="864"/>
    </row>
    <row r="133" spans="1:6" x14ac:dyDescent="0.2">
      <c r="A133" s="123"/>
      <c r="B133" s="123" t="s">
        <v>1184</v>
      </c>
      <c r="C133" s="845">
        <v>126</v>
      </c>
      <c r="D133" s="842" t="s">
        <v>1056</v>
      </c>
      <c r="E133" s="842" t="s">
        <v>1277</v>
      </c>
      <c r="F133" s="864"/>
    </row>
    <row r="134" spans="1:6" x14ac:dyDescent="0.2">
      <c r="A134" s="123" t="s">
        <v>1141</v>
      </c>
      <c r="B134" s="123" t="s">
        <v>1185</v>
      </c>
      <c r="C134" s="846">
        <v>127</v>
      </c>
      <c r="D134" s="842" t="s">
        <v>673</v>
      </c>
      <c r="E134" s="842" t="s">
        <v>1319</v>
      </c>
      <c r="F134" s="864"/>
    </row>
    <row r="135" spans="1:6" x14ac:dyDescent="0.2">
      <c r="A135" s="123" t="s">
        <v>1178</v>
      </c>
      <c r="B135" s="123" t="s">
        <v>1186</v>
      </c>
      <c r="C135" s="845">
        <v>128</v>
      </c>
      <c r="D135" s="842" t="s">
        <v>672</v>
      </c>
      <c r="E135" s="842" t="s">
        <v>1187</v>
      </c>
      <c r="F135" s="864"/>
    </row>
    <row r="136" spans="1:6" ht="25.5" x14ac:dyDescent="0.2">
      <c r="A136" s="123"/>
      <c r="B136" s="123" t="s">
        <v>1181</v>
      </c>
      <c r="C136" s="845">
        <v>129</v>
      </c>
      <c r="D136" s="842" t="s">
        <v>693</v>
      </c>
      <c r="E136" s="842" t="s">
        <v>1188</v>
      </c>
      <c r="F136" s="864"/>
    </row>
    <row r="137" spans="1:6" x14ac:dyDescent="0.2">
      <c r="A137" s="123"/>
      <c r="B137" s="123"/>
      <c r="C137" s="846">
        <v>130</v>
      </c>
      <c r="D137" s="842" t="s">
        <v>773</v>
      </c>
      <c r="E137" s="842" t="s">
        <v>1189</v>
      </c>
      <c r="F137" s="864"/>
    </row>
    <row r="138" spans="1:6" ht="25.5" x14ac:dyDescent="0.2">
      <c r="A138" s="123"/>
      <c r="B138" s="123"/>
      <c r="C138" s="845">
        <v>131</v>
      </c>
      <c r="D138" s="842" t="s">
        <v>784</v>
      </c>
      <c r="E138" s="842" t="s">
        <v>1320</v>
      </c>
      <c r="F138" s="864"/>
    </row>
    <row r="139" spans="1:6" x14ac:dyDescent="0.2">
      <c r="A139" s="123"/>
      <c r="B139" s="123"/>
      <c r="C139" s="846">
        <v>132</v>
      </c>
      <c r="D139" s="842" t="s">
        <v>774</v>
      </c>
      <c r="E139" s="842" t="s">
        <v>1190</v>
      </c>
      <c r="F139" s="864"/>
    </row>
    <row r="140" spans="1:6" ht="38.25" x14ac:dyDescent="0.2">
      <c r="A140" s="123"/>
      <c r="B140" s="123"/>
      <c r="C140" s="845">
        <v>133</v>
      </c>
      <c r="D140" s="842" t="s">
        <v>1191</v>
      </c>
      <c r="E140" s="842" t="s">
        <v>1192</v>
      </c>
      <c r="F140" s="864"/>
    </row>
    <row r="141" spans="1:6" x14ac:dyDescent="0.2">
      <c r="A141" s="123" t="s">
        <v>1141</v>
      </c>
      <c r="B141" s="123" t="s">
        <v>1193</v>
      </c>
      <c r="C141" s="846">
        <v>134</v>
      </c>
      <c r="D141" s="842" t="s">
        <v>797</v>
      </c>
      <c r="E141" s="842" t="s">
        <v>1194</v>
      </c>
      <c r="F141" s="864"/>
    </row>
    <row r="142" spans="1:6" x14ac:dyDescent="0.2">
      <c r="A142" s="123"/>
      <c r="B142" s="123" t="s">
        <v>1195</v>
      </c>
      <c r="C142" s="845">
        <v>135</v>
      </c>
      <c r="D142" s="842" t="s">
        <v>1155</v>
      </c>
      <c r="E142" s="842" t="s">
        <v>1321</v>
      </c>
      <c r="F142" s="864"/>
    </row>
    <row r="143" spans="1:6" x14ac:dyDescent="0.2">
      <c r="A143" s="123" t="s">
        <v>1178</v>
      </c>
      <c r="B143" s="123" t="s">
        <v>1196</v>
      </c>
      <c r="C143" s="846">
        <v>136</v>
      </c>
      <c r="D143" s="842" t="s">
        <v>66</v>
      </c>
      <c r="E143" s="842" t="s">
        <v>1197</v>
      </c>
      <c r="F143" s="864"/>
    </row>
    <row r="144" spans="1:6" x14ac:dyDescent="0.2">
      <c r="A144" s="123" t="s">
        <v>1198</v>
      </c>
      <c r="B144" s="123"/>
      <c r="C144" s="845">
        <v>137</v>
      </c>
      <c r="D144" s="842" t="s">
        <v>286</v>
      </c>
      <c r="E144" s="842" t="s">
        <v>286</v>
      </c>
      <c r="F144" s="864"/>
    </row>
    <row r="145" spans="1:6" x14ac:dyDescent="0.2">
      <c r="A145" s="123"/>
      <c r="B145" s="123"/>
      <c r="C145" s="846">
        <v>138</v>
      </c>
      <c r="D145" s="842" t="s">
        <v>451</v>
      </c>
      <c r="E145" s="842" t="s">
        <v>451</v>
      </c>
      <c r="F145" s="864"/>
    </row>
    <row r="146" spans="1:6" x14ac:dyDescent="0.2">
      <c r="A146" s="123"/>
      <c r="B146" s="123"/>
      <c r="C146" s="846">
        <v>139</v>
      </c>
      <c r="D146" s="842" t="s">
        <v>452</v>
      </c>
      <c r="E146" s="842" t="s">
        <v>1199</v>
      </c>
      <c r="F146" s="864"/>
    </row>
    <row r="147" spans="1:6" x14ac:dyDescent="0.2">
      <c r="A147" s="123"/>
      <c r="B147" s="123"/>
      <c r="C147" s="845">
        <v>140</v>
      </c>
      <c r="D147" s="842" t="s">
        <v>287</v>
      </c>
      <c r="E147" s="842" t="s">
        <v>1200</v>
      </c>
      <c r="F147" s="864"/>
    </row>
    <row r="148" spans="1:6" x14ac:dyDescent="0.2">
      <c r="A148" s="123"/>
      <c r="B148" s="123"/>
      <c r="C148" s="846">
        <v>141</v>
      </c>
      <c r="D148" s="842" t="s">
        <v>444</v>
      </c>
      <c r="E148" s="842" t="s">
        <v>1201</v>
      </c>
      <c r="F148" s="864"/>
    </row>
    <row r="149" spans="1:6" x14ac:dyDescent="0.2">
      <c r="A149" s="123"/>
      <c r="B149" s="123"/>
      <c r="C149" s="846">
        <v>142</v>
      </c>
      <c r="D149" s="842" t="s">
        <v>225</v>
      </c>
      <c r="E149" s="842" t="s">
        <v>1202</v>
      </c>
      <c r="F149" s="864"/>
    </row>
    <row r="150" spans="1:6" x14ac:dyDescent="0.2">
      <c r="A150" s="123"/>
      <c r="B150" s="123"/>
      <c r="C150" s="845">
        <v>143</v>
      </c>
      <c r="D150" s="842" t="s">
        <v>90</v>
      </c>
      <c r="E150" s="842" t="s">
        <v>1203</v>
      </c>
      <c r="F150" s="864"/>
    </row>
    <row r="151" spans="1:6" x14ac:dyDescent="0.2">
      <c r="A151" s="123"/>
      <c r="B151" s="123"/>
      <c r="C151" s="846">
        <v>144</v>
      </c>
      <c r="D151" s="842" t="s">
        <v>255</v>
      </c>
      <c r="E151" s="842" t="s">
        <v>1204</v>
      </c>
      <c r="F151" s="864"/>
    </row>
    <row r="152" spans="1:6" x14ac:dyDescent="0.2">
      <c r="A152" s="123" t="s">
        <v>1141</v>
      </c>
      <c r="B152" s="123" t="s">
        <v>1205</v>
      </c>
      <c r="C152" s="846">
        <v>145</v>
      </c>
      <c r="D152" s="842" t="s">
        <v>1033</v>
      </c>
      <c r="E152" s="842" t="s">
        <v>1322</v>
      </c>
      <c r="F152" s="864"/>
    </row>
    <row r="153" spans="1:6" x14ac:dyDescent="0.2">
      <c r="A153" s="123"/>
      <c r="B153" s="123"/>
      <c r="C153" s="845">
        <v>146</v>
      </c>
      <c r="D153" s="842" t="s">
        <v>900</v>
      </c>
      <c r="E153" s="842" t="s">
        <v>1206</v>
      </c>
      <c r="F153" s="864"/>
    </row>
    <row r="154" spans="1:6" x14ac:dyDescent="0.2">
      <c r="A154" s="123"/>
      <c r="B154" s="123"/>
      <c r="C154" s="846">
        <v>147</v>
      </c>
      <c r="D154" s="842" t="s">
        <v>1032</v>
      </c>
      <c r="E154" s="842" t="s">
        <v>1207</v>
      </c>
      <c r="F154" s="864"/>
    </row>
    <row r="155" spans="1:6" x14ac:dyDescent="0.2">
      <c r="A155" s="123"/>
      <c r="B155" s="123"/>
      <c r="C155" s="846">
        <v>148</v>
      </c>
      <c r="D155" s="842" t="s">
        <v>724</v>
      </c>
      <c r="E155" s="842" t="s">
        <v>1208</v>
      </c>
      <c r="F155" s="864"/>
    </row>
    <row r="156" spans="1:6" x14ac:dyDescent="0.2">
      <c r="A156" s="123"/>
      <c r="B156" s="123"/>
      <c r="C156" s="846">
        <v>149</v>
      </c>
      <c r="D156" s="842" t="s">
        <v>735</v>
      </c>
      <c r="E156" s="842" t="s">
        <v>1209</v>
      </c>
      <c r="F156" s="864"/>
    </row>
    <row r="157" spans="1:6" x14ac:dyDescent="0.2">
      <c r="A157" s="123"/>
      <c r="B157" s="123" t="s">
        <v>1210</v>
      </c>
      <c r="C157" s="845">
        <v>150</v>
      </c>
      <c r="D157" s="842" t="s">
        <v>738</v>
      </c>
      <c r="E157" s="842" t="s">
        <v>1286</v>
      </c>
      <c r="F157" s="864"/>
    </row>
    <row r="158" spans="1:6" x14ac:dyDescent="0.2">
      <c r="A158" s="123"/>
      <c r="B158" s="123" t="s">
        <v>530</v>
      </c>
      <c r="C158" s="846">
        <v>151</v>
      </c>
      <c r="D158" s="842" t="s">
        <v>769</v>
      </c>
      <c r="E158" s="842" t="s">
        <v>1257</v>
      </c>
      <c r="F158" s="864"/>
    </row>
    <row r="159" spans="1:6" x14ac:dyDescent="0.2">
      <c r="A159" s="123"/>
      <c r="B159" s="123"/>
      <c r="C159" s="845">
        <v>152</v>
      </c>
      <c r="D159" s="842" t="s">
        <v>770</v>
      </c>
      <c r="E159" s="842" t="s">
        <v>1258</v>
      </c>
      <c r="F159" s="864"/>
    </row>
    <row r="160" spans="1:6" x14ac:dyDescent="0.2">
      <c r="A160" s="123"/>
      <c r="B160" s="123"/>
      <c r="C160" s="846">
        <v>153</v>
      </c>
      <c r="D160" s="842" t="s">
        <v>771</v>
      </c>
      <c r="E160" s="842" t="s">
        <v>1259</v>
      </c>
      <c r="F160" s="864"/>
    </row>
    <row r="161" spans="1:14" x14ac:dyDescent="0.2">
      <c r="A161" s="123"/>
      <c r="B161" s="123"/>
      <c r="C161" s="846">
        <v>154</v>
      </c>
      <c r="D161" s="842" t="s">
        <v>725</v>
      </c>
      <c r="E161" s="842" t="s">
        <v>1211</v>
      </c>
      <c r="F161" s="864"/>
    </row>
    <row r="162" spans="1:14" x14ac:dyDescent="0.2">
      <c r="A162" s="123"/>
      <c r="B162" s="123"/>
      <c r="C162" s="845">
        <v>155</v>
      </c>
      <c r="D162" s="842" t="s">
        <v>732</v>
      </c>
      <c r="E162" s="842" t="s">
        <v>1212</v>
      </c>
      <c r="F162" s="864"/>
    </row>
    <row r="163" spans="1:14" x14ac:dyDescent="0.2">
      <c r="A163" s="123"/>
      <c r="B163" s="123"/>
      <c r="C163" s="846">
        <v>156</v>
      </c>
      <c r="D163" s="842" t="s">
        <v>731</v>
      </c>
      <c r="E163" s="842" t="s">
        <v>1213</v>
      </c>
      <c r="F163" s="864"/>
    </row>
    <row r="164" spans="1:14" x14ac:dyDescent="0.2">
      <c r="A164" s="123"/>
      <c r="B164" s="123" t="s">
        <v>1214</v>
      </c>
      <c r="C164" s="846">
        <v>157</v>
      </c>
      <c r="D164" s="842" t="s">
        <v>1028</v>
      </c>
      <c r="E164" s="842" t="s">
        <v>1323</v>
      </c>
      <c r="F164" s="864"/>
    </row>
    <row r="165" spans="1:14" x14ac:dyDescent="0.2">
      <c r="A165" s="123"/>
      <c r="B165" s="123" t="s">
        <v>1172</v>
      </c>
      <c r="C165" s="846">
        <v>158</v>
      </c>
      <c r="D165" s="842" t="s">
        <v>798</v>
      </c>
      <c r="E165" s="842" t="s">
        <v>1324</v>
      </c>
      <c r="F165" s="864"/>
    </row>
    <row r="166" spans="1:14" ht="25.5" x14ac:dyDescent="0.2">
      <c r="A166" s="123"/>
      <c r="B166" s="123"/>
      <c r="C166" s="845">
        <v>159</v>
      </c>
      <c r="D166" s="842" t="s">
        <v>759</v>
      </c>
      <c r="E166" s="842" t="s">
        <v>1215</v>
      </c>
      <c r="F166" s="864"/>
    </row>
    <row r="167" spans="1:14" x14ac:dyDescent="0.2">
      <c r="A167" s="123" t="s">
        <v>1216</v>
      </c>
      <c r="B167" s="123" t="s">
        <v>1217</v>
      </c>
      <c r="C167" s="846">
        <v>160</v>
      </c>
      <c r="D167" s="842" t="s">
        <v>765</v>
      </c>
      <c r="E167" s="842" t="s">
        <v>1325</v>
      </c>
      <c r="F167" s="864"/>
    </row>
    <row r="168" spans="1:14" x14ac:dyDescent="0.2">
      <c r="A168" s="123" t="s">
        <v>1218</v>
      </c>
      <c r="B168" s="123" t="s">
        <v>1219</v>
      </c>
      <c r="C168" s="845">
        <v>161</v>
      </c>
      <c r="D168" s="842" t="s">
        <v>762</v>
      </c>
      <c r="E168" s="872" t="s">
        <v>1326</v>
      </c>
      <c r="F168" s="864"/>
    </row>
    <row r="169" spans="1:14" x14ac:dyDescent="0.2">
      <c r="A169" s="123"/>
      <c r="B169" s="123"/>
      <c r="C169" s="846">
        <v>162</v>
      </c>
      <c r="D169" s="871" t="s">
        <v>915</v>
      </c>
      <c r="E169" s="874" t="s">
        <v>1327</v>
      </c>
      <c r="F169" s="870"/>
    </row>
    <row r="170" spans="1:14" x14ac:dyDescent="0.2">
      <c r="A170" s="123"/>
      <c r="B170" s="123"/>
      <c r="C170" s="845">
        <v>163</v>
      </c>
      <c r="D170" s="842" t="s">
        <v>779</v>
      </c>
      <c r="E170" s="875" t="s">
        <v>1328</v>
      </c>
      <c r="F170" s="864"/>
    </row>
    <row r="171" spans="1:14" x14ac:dyDescent="0.2">
      <c r="A171" s="123"/>
      <c r="B171" s="123"/>
      <c r="C171" s="846">
        <v>164</v>
      </c>
      <c r="D171" s="842" t="s">
        <v>764</v>
      </c>
      <c r="E171" s="876" t="s">
        <v>1348</v>
      </c>
      <c r="F171" s="864"/>
    </row>
    <row r="172" spans="1:14" x14ac:dyDescent="0.2">
      <c r="A172" s="123" t="s">
        <v>1220</v>
      </c>
      <c r="B172" s="123"/>
      <c r="C172" s="846">
        <v>165</v>
      </c>
      <c r="D172" s="842" t="s">
        <v>760</v>
      </c>
      <c r="E172" s="842" t="s">
        <v>1329</v>
      </c>
      <c r="F172" s="864"/>
      <c r="G172" s="841"/>
      <c r="H172" s="841"/>
      <c r="I172" s="841"/>
      <c r="J172" s="841"/>
      <c r="K172" s="841"/>
      <c r="L172" s="33"/>
      <c r="M172" s="33"/>
      <c r="N172" s="33"/>
    </row>
    <row r="173" spans="1:14" ht="25.5" x14ac:dyDescent="0.2">
      <c r="A173" s="123"/>
      <c r="B173" s="123"/>
      <c r="C173" s="845">
        <v>166</v>
      </c>
      <c r="D173" s="842" t="s">
        <v>973</v>
      </c>
      <c r="E173" s="842" t="s">
        <v>1330</v>
      </c>
      <c r="F173" s="864"/>
      <c r="G173" s="841"/>
      <c r="H173" s="841"/>
      <c r="I173" s="841"/>
      <c r="J173" s="841"/>
      <c r="K173" s="841"/>
      <c r="L173" s="33"/>
      <c r="M173" s="33"/>
      <c r="N173" s="33"/>
    </row>
    <row r="174" spans="1:14" ht="25.5" x14ac:dyDescent="0.2">
      <c r="A174" s="123"/>
      <c r="B174" s="123"/>
      <c r="C174" s="846">
        <v>167</v>
      </c>
      <c r="D174" s="842" t="s">
        <v>919</v>
      </c>
      <c r="E174" s="842" t="s">
        <v>1331</v>
      </c>
      <c r="F174" s="864"/>
      <c r="G174" s="841"/>
      <c r="H174" s="841"/>
      <c r="I174" s="841"/>
      <c r="J174" s="841"/>
      <c r="K174" s="841"/>
      <c r="L174" s="33"/>
      <c r="M174" s="33"/>
      <c r="N174" s="33"/>
    </row>
    <row r="175" spans="1:14" x14ac:dyDescent="0.2">
      <c r="A175" s="123"/>
      <c r="B175" s="123"/>
      <c r="C175" s="846">
        <v>168</v>
      </c>
      <c r="D175" s="842" t="s">
        <v>761</v>
      </c>
      <c r="E175" s="842" t="s">
        <v>1332</v>
      </c>
      <c r="F175" s="864"/>
      <c r="G175" s="841"/>
      <c r="H175" s="841"/>
      <c r="I175" s="841"/>
      <c r="J175" s="841"/>
      <c r="K175" s="841"/>
      <c r="L175" s="33"/>
      <c r="M175" s="33"/>
      <c r="N175" s="33"/>
    </row>
    <row r="176" spans="1:14" x14ac:dyDescent="0.2">
      <c r="A176" s="123" t="s">
        <v>1141</v>
      </c>
      <c r="B176" s="123" t="s">
        <v>1221</v>
      </c>
      <c r="C176" s="846">
        <v>169</v>
      </c>
      <c r="D176" s="842" t="s">
        <v>941</v>
      </c>
      <c r="E176" s="842" t="s">
        <v>1333</v>
      </c>
      <c r="F176" s="864"/>
      <c r="G176" s="33"/>
      <c r="H176" s="33"/>
      <c r="I176" s="33"/>
      <c r="J176" s="33"/>
      <c r="K176" s="33"/>
      <c r="L176" s="33"/>
      <c r="M176" s="33"/>
      <c r="N176" s="33"/>
    </row>
    <row r="177" spans="1:6" x14ac:dyDescent="0.2">
      <c r="A177" s="123" t="s">
        <v>1222</v>
      </c>
      <c r="B177" s="123"/>
      <c r="C177" s="846">
        <v>170</v>
      </c>
      <c r="D177" s="842" t="s">
        <v>952</v>
      </c>
      <c r="E177" s="842" t="s">
        <v>1223</v>
      </c>
      <c r="F177" s="864"/>
    </row>
    <row r="178" spans="1:6" ht="38.25" x14ac:dyDescent="0.2">
      <c r="A178" s="123"/>
      <c r="B178" s="123" t="s">
        <v>1224</v>
      </c>
      <c r="C178" s="846">
        <v>171</v>
      </c>
      <c r="D178" s="842" t="s">
        <v>951</v>
      </c>
      <c r="E178" s="842" t="s">
        <v>1334</v>
      </c>
      <c r="F178" s="864"/>
    </row>
    <row r="179" spans="1:6" x14ac:dyDescent="0.2">
      <c r="A179" s="123"/>
      <c r="B179" s="123" t="s">
        <v>1225</v>
      </c>
      <c r="C179" s="846">
        <v>172</v>
      </c>
      <c r="D179" s="842" t="s">
        <v>950</v>
      </c>
      <c r="E179" s="842" t="s">
        <v>1335</v>
      </c>
      <c r="F179" s="864"/>
    </row>
    <row r="180" spans="1:6" ht="38.25" x14ac:dyDescent="0.2">
      <c r="A180" s="123"/>
      <c r="B180" s="123" t="s">
        <v>1226</v>
      </c>
      <c r="C180" s="846">
        <v>173</v>
      </c>
      <c r="D180" s="842" t="s">
        <v>943</v>
      </c>
      <c r="E180" s="842" t="s">
        <v>1336</v>
      </c>
      <c r="F180" s="864"/>
    </row>
    <row r="181" spans="1:6" x14ac:dyDescent="0.2">
      <c r="A181" s="123"/>
      <c r="B181" s="123"/>
      <c r="C181" s="846">
        <v>174</v>
      </c>
      <c r="D181" s="842" t="s">
        <v>953</v>
      </c>
      <c r="E181" s="842" t="s">
        <v>1337</v>
      </c>
      <c r="F181" s="864"/>
    </row>
    <row r="182" spans="1:6" ht="25.5" x14ac:dyDescent="0.2">
      <c r="A182" s="123"/>
      <c r="B182" s="123"/>
      <c r="C182" s="846">
        <v>175</v>
      </c>
      <c r="D182" s="842" t="s">
        <v>990</v>
      </c>
      <c r="E182" s="842" t="s">
        <v>1338</v>
      </c>
      <c r="F182" s="864"/>
    </row>
    <row r="183" spans="1:6" ht="38.25" x14ac:dyDescent="0.2">
      <c r="A183" s="123"/>
      <c r="B183" s="123"/>
      <c r="C183" s="846">
        <v>176</v>
      </c>
      <c r="D183" s="842" t="s">
        <v>949</v>
      </c>
      <c r="E183" s="842" t="s">
        <v>1227</v>
      </c>
      <c r="F183" s="864"/>
    </row>
    <row r="184" spans="1:6" ht="38.25" x14ac:dyDescent="0.2">
      <c r="A184" s="123"/>
      <c r="B184" s="123"/>
      <c r="C184" s="846">
        <v>177</v>
      </c>
      <c r="D184" s="842" t="s">
        <v>946</v>
      </c>
      <c r="E184" s="842" t="s">
        <v>1339</v>
      </c>
      <c r="F184" s="864"/>
    </row>
    <row r="185" spans="1:6" ht="25.5" x14ac:dyDescent="0.2">
      <c r="A185" s="123"/>
      <c r="B185" s="123"/>
      <c r="C185" s="846">
        <v>178</v>
      </c>
      <c r="D185" s="842" t="s">
        <v>947</v>
      </c>
      <c r="E185" s="842" t="s">
        <v>1340</v>
      </c>
      <c r="F185" s="864"/>
    </row>
    <row r="186" spans="1:6" ht="25.5" x14ac:dyDescent="0.2">
      <c r="A186" s="123"/>
      <c r="B186" s="123"/>
      <c r="C186" s="846">
        <v>179</v>
      </c>
      <c r="D186" s="842" t="s">
        <v>948</v>
      </c>
      <c r="E186" s="842" t="s">
        <v>1228</v>
      </c>
      <c r="F186" s="864"/>
    </row>
    <row r="187" spans="1:6" x14ac:dyDescent="0.2">
      <c r="A187" s="123"/>
      <c r="B187" s="123" t="s">
        <v>1229</v>
      </c>
      <c r="C187" s="846">
        <v>180</v>
      </c>
      <c r="D187" s="842" t="s">
        <v>1273</v>
      </c>
      <c r="E187" s="842" t="s">
        <v>1274</v>
      </c>
      <c r="F187" s="864"/>
    </row>
    <row r="188" spans="1:6" x14ac:dyDescent="0.2">
      <c r="A188" s="123"/>
      <c r="B188" s="123" t="s">
        <v>1230</v>
      </c>
      <c r="C188" s="846">
        <v>181</v>
      </c>
      <c r="D188" s="842" t="s">
        <v>500</v>
      </c>
      <c r="E188" s="842" t="s">
        <v>1094</v>
      </c>
      <c r="F188" s="864"/>
    </row>
    <row r="189" spans="1:6" ht="25.5" x14ac:dyDescent="0.2">
      <c r="A189" s="123"/>
      <c r="B189" s="123" t="s">
        <v>1231</v>
      </c>
      <c r="C189" s="846">
        <v>182</v>
      </c>
      <c r="D189" s="842" t="s">
        <v>1003</v>
      </c>
      <c r="E189" s="842" t="s">
        <v>1341</v>
      </c>
      <c r="F189" s="864"/>
    </row>
    <row r="190" spans="1:6" ht="25.5" x14ac:dyDescent="0.2">
      <c r="A190" s="123"/>
      <c r="B190" s="123" t="s">
        <v>1232</v>
      </c>
      <c r="C190" s="846">
        <v>183</v>
      </c>
      <c r="D190" s="842" t="s">
        <v>956</v>
      </c>
      <c r="E190" s="842" t="s">
        <v>1233</v>
      </c>
      <c r="F190" s="864"/>
    </row>
    <row r="191" spans="1:6" x14ac:dyDescent="0.2">
      <c r="A191" s="123" t="s">
        <v>1234</v>
      </c>
      <c r="B191" s="123" t="s">
        <v>1235</v>
      </c>
      <c r="C191" s="846">
        <v>184</v>
      </c>
      <c r="D191" s="842"/>
      <c r="E191" s="842"/>
      <c r="F191" s="864"/>
    </row>
    <row r="192" spans="1:6" x14ac:dyDescent="0.2">
      <c r="A192" s="123" t="s">
        <v>1234</v>
      </c>
      <c r="B192" s="123" t="s">
        <v>1236</v>
      </c>
      <c r="C192" s="846">
        <v>185</v>
      </c>
      <c r="D192" s="842"/>
      <c r="E192" s="842"/>
      <c r="F192" s="864"/>
    </row>
    <row r="193" spans="1:6" x14ac:dyDescent="0.2">
      <c r="A193" s="123"/>
      <c r="B193" s="123"/>
      <c r="C193" s="846">
        <v>186</v>
      </c>
      <c r="D193" s="842" t="s">
        <v>501</v>
      </c>
      <c r="E193" s="842" t="s">
        <v>1237</v>
      </c>
      <c r="F193" s="864"/>
    </row>
    <row r="194" spans="1:6" ht="25.5" x14ac:dyDescent="0.2">
      <c r="A194" s="123"/>
      <c r="B194" s="123" t="s">
        <v>1231</v>
      </c>
      <c r="C194" s="846">
        <v>187</v>
      </c>
      <c r="D194" s="842" t="s">
        <v>957</v>
      </c>
      <c r="E194" s="842" t="s">
        <v>1342</v>
      </c>
      <c r="F194" s="864"/>
    </row>
    <row r="195" spans="1:6" ht="25.5" x14ac:dyDescent="0.2">
      <c r="A195" s="123"/>
      <c r="B195" s="123" t="s">
        <v>1232</v>
      </c>
      <c r="C195" s="846">
        <v>188</v>
      </c>
      <c r="D195" s="842" t="s">
        <v>956</v>
      </c>
      <c r="E195" s="842" t="s">
        <v>1233</v>
      </c>
      <c r="F195" s="864"/>
    </row>
    <row r="196" spans="1:6" x14ac:dyDescent="0.2">
      <c r="A196" s="123" t="s">
        <v>1234</v>
      </c>
      <c r="B196" s="123" t="s">
        <v>1235</v>
      </c>
      <c r="C196" s="846">
        <v>189</v>
      </c>
      <c r="D196" s="842"/>
      <c r="E196" s="842"/>
      <c r="F196" s="864"/>
    </row>
    <row r="197" spans="1:6" x14ac:dyDescent="0.2">
      <c r="A197" s="123" t="s">
        <v>1234</v>
      </c>
      <c r="B197" s="123" t="s">
        <v>1236</v>
      </c>
      <c r="C197" s="846">
        <v>190</v>
      </c>
      <c r="D197" s="842"/>
      <c r="E197" s="842"/>
      <c r="F197" s="864"/>
    </row>
    <row r="198" spans="1:6" x14ac:dyDescent="0.2">
      <c r="A198" s="123"/>
      <c r="B198" s="123"/>
      <c r="C198" s="846">
        <v>191</v>
      </c>
      <c r="D198" s="842" t="s">
        <v>502</v>
      </c>
      <c r="E198" s="842" t="s">
        <v>1095</v>
      </c>
      <c r="F198" s="864"/>
    </row>
    <row r="199" spans="1:6" x14ac:dyDescent="0.2">
      <c r="A199" s="123"/>
      <c r="B199" s="123" t="s">
        <v>1231</v>
      </c>
      <c r="C199" s="846">
        <v>192</v>
      </c>
      <c r="D199" s="842" t="s">
        <v>1238</v>
      </c>
      <c r="E199" s="842" t="s">
        <v>1343</v>
      </c>
      <c r="F199" s="864"/>
    </row>
    <row r="200" spans="1:6" ht="25.5" x14ac:dyDescent="0.2">
      <c r="A200" s="123"/>
      <c r="B200" s="123" t="s">
        <v>1232</v>
      </c>
      <c r="C200" s="846">
        <v>193</v>
      </c>
      <c r="D200" s="842" t="s">
        <v>940</v>
      </c>
      <c r="E200" s="842" t="s">
        <v>1344</v>
      </c>
      <c r="F200" s="864"/>
    </row>
    <row r="201" spans="1:6" ht="25.5" x14ac:dyDescent="0.2">
      <c r="A201" s="123"/>
      <c r="B201" s="123" t="s">
        <v>1235</v>
      </c>
      <c r="C201" s="846">
        <v>194</v>
      </c>
      <c r="D201" s="842" t="s">
        <v>991</v>
      </c>
      <c r="E201" s="842" t="s">
        <v>1345</v>
      </c>
      <c r="F201" s="864"/>
    </row>
    <row r="202" spans="1:6" ht="25.5" x14ac:dyDescent="0.2">
      <c r="A202" s="123"/>
      <c r="B202" s="123" t="s">
        <v>1236</v>
      </c>
      <c r="C202" s="846">
        <v>195</v>
      </c>
      <c r="D202" s="842" t="s">
        <v>956</v>
      </c>
      <c r="E202" s="842" t="s">
        <v>1233</v>
      </c>
      <c r="F202" s="864"/>
    </row>
  </sheetData>
  <sheetProtection password="D65F" sheet="1" objects="1" scenarios="1" formatCells="0"/>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41</vt:i4>
      </vt:variant>
    </vt:vector>
  </HeadingPairs>
  <TitlesOfParts>
    <vt:vector size="50" baseType="lpstr">
      <vt:lpstr>Anleitung</vt:lpstr>
      <vt:lpstr>Fischzuchtanlage</vt:lpstr>
      <vt:lpstr>Grundlagen</vt:lpstr>
      <vt:lpstr>Gewaesserbelastung</vt:lpstr>
      <vt:lpstr>Kostenabschätzung</vt:lpstr>
      <vt:lpstr>Grundlagen Wirtschaftlichkeit</vt:lpstr>
      <vt:lpstr>Tierschutzverordnung</vt:lpstr>
      <vt:lpstr>Literatur</vt:lpstr>
      <vt:lpstr>Sprachen</vt:lpstr>
      <vt:lpstr>Anlagetext</vt:lpstr>
      <vt:lpstr>Anlagetyp</vt:lpstr>
      <vt:lpstr>Beurteilungstext</vt:lpstr>
      <vt:lpstr>DOC</vt:lpstr>
      <vt:lpstr>DOCNormal</vt:lpstr>
      <vt:lpstr>DOCVorbel</vt:lpstr>
      <vt:lpstr>Fischzuchtanlage!Druckbereich</vt:lpstr>
      <vt:lpstr>Kostenabschätzung!Druckbereich</vt:lpstr>
      <vt:lpstr>Entwässerung</vt:lpstr>
      <vt:lpstr>Entwässerungstext</vt:lpstr>
      <vt:lpstr>EZSee</vt:lpstr>
      <vt:lpstr>Fisch</vt:lpstr>
      <vt:lpstr>GelP</vt:lpstr>
      <vt:lpstr>GesP</vt:lpstr>
      <vt:lpstr>kritisch</vt:lpstr>
      <vt:lpstr>MatrixP</vt:lpstr>
      <vt:lpstr>MatrixWG</vt:lpstr>
      <vt:lpstr>NH4N</vt:lpstr>
      <vt:lpstr>nicht</vt:lpstr>
      <vt:lpstr>NO3N</vt:lpstr>
      <vt:lpstr>P_See</vt:lpstr>
      <vt:lpstr>PhosphorF</vt:lpstr>
      <vt:lpstr>PhosphorFText</vt:lpstr>
      <vt:lpstr>Preis</vt:lpstr>
      <vt:lpstr>QWasser</vt:lpstr>
      <vt:lpstr>Schlamm</vt:lpstr>
      <vt:lpstr>Schlammtext</vt:lpstr>
      <vt:lpstr>Sprachen</vt:lpstr>
      <vt:lpstr>StufeDOCGering</vt:lpstr>
      <vt:lpstr>StufeDOCHoch</vt:lpstr>
      <vt:lpstr>StufeNH4</vt:lpstr>
      <vt:lpstr>StufeNO3</vt:lpstr>
      <vt:lpstr>StufePGel</vt:lpstr>
      <vt:lpstr>StufePges</vt:lpstr>
      <vt:lpstr>Texte</vt:lpstr>
      <vt:lpstr>tragbar</vt:lpstr>
      <vt:lpstr>Vorbeh</vt:lpstr>
      <vt:lpstr>VorbehText</vt:lpstr>
      <vt:lpstr>Zuchtart</vt:lpstr>
      <vt:lpstr>Zuchttext</vt:lpstr>
      <vt:lpstr>Zusatzauflagen</vt:lpstr>
    </vt:vector>
  </TitlesOfParts>
  <Company>umwelt und energie (uwe) - Kanton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EBUTSCHER</dc:creator>
  <cp:lastModifiedBy>Kim Häcki</cp:lastModifiedBy>
  <cp:lastPrinted>2016-05-13T13:19:53Z</cp:lastPrinted>
  <dcterms:created xsi:type="dcterms:W3CDTF">2015-12-17T13:17:07Z</dcterms:created>
  <dcterms:modified xsi:type="dcterms:W3CDTF">2019-06-11T11:01:40Z</dcterms:modified>
</cp:coreProperties>
</file>