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embeddings/oleObject1.bin" ContentType="application/vnd.openxmlformats-officedocument.oleObject"/>
  <Override PartName="/xl/charts/chart2.xml" ContentType="application/vnd.openxmlformats-officedocument.drawingml.chart+xml"/>
  <Override PartName="/xl/drawings/drawing3.xml" ContentType="application/vnd.openxmlformats-officedocument.drawing+xml"/>
  <Override PartName="/xl/embeddings/oleObject2.bin" ContentType="application/vnd.openxmlformats-officedocument.oleObject"/>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harts/chart3.xml" ContentType="application/vnd.openxmlformats-officedocument.drawingml.chart+xml"/>
  <Override PartName="/xl/drawings/drawing4.xml" ContentType="application/vnd.openxmlformats-officedocument.drawing+xml"/>
  <Override PartName="/xl/embeddings/oleObject3.bin" ContentType="application/vnd.openxmlformats-officedocument.oleObject"/>
  <Override PartName="/xl/charts/chart4.xml" ContentType="application/vnd.openxmlformats-officedocument.drawingml.chart+xml"/>
  <Override PartName="/xl/drawings/drawing5.xml" ContentType="application/vnd.openxmlformats-officedocument.drawing+xml"/>
  <Override PartName="/xl/embeddings/oleObject4.bin" ContentType="application/vnd.openxmlformats-officedocument.oleObject"/>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embeddings/oleObject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C:\Users\KHaecki\Downloads\"/>
    </mc:Choice>
  </mc:AlternateContent>
  <bookViews>
    <workbookView xWindow="-15" yWindow="-15" windowWidth="9645" windowHeight="12720"/>
  </bookViews>
  <sheets>
    <sheet name="Anleitung" sheetId="6" r:id="rId1"/>
    <sheet name="Fragebogen" sheetId="1" r:id="rId2"/>
    <sheet name="Milchverarbeitung" sheetId="2" r:id="rId3"/>
    <sheet name="Käsereien" sheetId="4" r:id="rId4"/>
    <sheet name="Fleischverarbeitung" sheetId="3" r:id="rId5"/>
    <sheet name="Getränke" sheetId="10" r:id="rId6"/>
    <sheet name="Brauereien" sheetId="11" r:id="rId7"/>
    <sheet name="Zuschlag" sheetId="16" state="hidden" r:id="rId8"/>
    <sheet name="Gewerbe" sheetId="17" r:id="rId9"/>
    <sheet name="Literatur" sheetId="7" state="hidden" r:id="rId10"/>
    <sheet name="Parameter" sheetId="13" state="hidden" r:id="rId11"/>
    <sheet name="Tools" sheetId="18" r:id="rId12"/>
    <sheet name="Lit" sheetId="14" r:id="rId13"/>
  </sheets>
  <definedNames>
    <definedName name="_xlnm.Print_Area" localSheetId="0">Anleitung!$B$3:$AA$43</definedName>
    <definedName name="_xlnm.Print_Area" localSheetId="6">Brauereien!$B$12:$I$107</definedName>
    <definedName name="_xlnm.Print_Area" localSheetId="4">Fleischverarbeitung!$B$13:$H$109</definedName>
    <definedName name="_xlnm.Print_Area" localSheetId="1">Fragebogen!$B$1:$F$58</definedName>
    <definedName name="_xlnm.Print_Area" localSheetId="5">Getränke!$B$12:$I$105</definedName>
    <definedName name="_xlnm.Print_Area" localSheetId="3">Käsereien!$B$13:$I$100</definedName>
    <definedName name="_xlnm.Print_Area" localSheetId="9">Literatur!$A$5:$F$27</definedName>
    <definedName name="_xlnm.Print_Area" localSheetId="2">Milchverarbeitung!$B$13:$I$153</definedName>
    <definedName name="DruckluftKoeffizienten">Tools!$G$61:$J$66</definedName>
    <definedName name="Faktorenliste">Tools!$X$8:$AA$14</definedName>
    <definedName name="Grün">Parameter!$D$7</definedName>
    <definedName name="Gut">Parameter!$G$7</definedName>
    <definedName name="Liste">Milchverarbeitung!$AU$69:$AU$71</definedName>
    <definedName name="ListeRechner">Tools!$K$14:$M$36</definedName>
    <definedName name="Potential">Parameter!$G$8</definedName>
    <definedName name="Rot">Parameter!$D$8</definedName>
    <definedName name="StoffRechner">Tools!$K$14:$K$36</definedName>
  </definedNames>
  <calcPr calcId="162913"/>
</workbook>
</file>

<file path=xl/calcChain.xml><?xml version="1.0" encoding="utf-8"?>
<calcChain xmlns="http://schemas.openxmlformats.org/spreadsheetml/2006/main">
  <c r="BD63" i="2" l="1"/>
  <c r="N34" i="2" l="1"/>
  <c r="G28" i="4" l="1"/>
  <c r="G27" i="4"/>
  <c r="G26" i="2"/>
  <c r="G25" i="2"/>
  <c r="P30" i="3" l="1"/>
  <c r="P31" i="3"/>
  <c r="P32" i="3"/>
  <c r="P33" i="3"/>
  <c r="P34" i="3"/>
  <c r="P35" i="3"/>
  <c r="P29" i="3"/>
  <c r="G68" i="18" l="1"/>
  <c r="H68" i="18" s="1"/>
  <c r="E64" i="18"/>
  <c r="E66" i="18" s="1"/>
  <c r="I68" i="18" l="1"/>
  <c r="J68" i="18"/>
  <c r="F34" i="18"/>
  <c r="E65" i="18" l="1"/>
  <c r="R17" i="1"/>
  <c r="Q20" i="1"/>
  <c r="Q19" i="1"/>
  <c r="Q18" i="1"/>
  <c r="Q17" i="1"/>
  <c r="I17" i="1"/>
  <c r="O17" i="1"/>
  <c r="K17" i="1"/>
  <c r="J17" i="1" l="1"/>
  <c r="L17" i="1"/>
  <c r="M17" i="1" s="1"/>
  <c r="H30" i="18"/>
  <c r="E34" i="18" s="1"/>
  <c r="G30" i="18"/>
  <c r="H17" i="18"/>
  <c r="E23" i="18" s="1"/>
  <c r="G17" i="18"/>
  <c r="E22" i="18" s="1"/>
  <c r="P17" i="1" l="1"/>
  <c r="D25" i="1"/>
  <c r="E20" i="18"/>
  <c r="E21" i="18"/>
  <c r="K21" i="1" l="1"/>
  <c r="R20" i="1"/>
  <c r="R19" i="1"/>
  <c r="R18" i="1"/>
  <c r="R16" i="1"/>
  <c r="Q16" i="1"/>
  <c r="I19" i="1"/>
  <c r="I20" i="1"/>
  <c r="I18" i="1"/>
  <c r="I16" i="1"/>
  <c r="L21" i="1" l="1"/>
  <c r="M21" i="1" s="1"/>
  <c r="J19" i="1"/>
  <c r="D42" i="1" s="1"/>
  <c r="J20" i="1"/>
  <c r="D51" i="1" s="1"/>
  <c r="J16" i="1"/>
  <c r="D14" i="1" s="1"/>
  <c r="J18" i="1"/>
  <c r="D34" i="1" s="1"/>
  <c r="D69" i="11"/>
  <c r="E69" i="11" s="1"/>
  <c r="D67" i="11"/>
  <c r="E67" i="11" s="1"/>
  <c r="F67" i="11" s="1"/>
  <c r="M45" i="4" l="1"/>
  <c r="M44" i="4" s="1"/>
  <c r="M43" i="4"/>
  <c r="P46" i="4"/>
  <c r="D40" i="4"/>
  <c r="D39" i="4" s="1"/>
  <c r="D38" i="4"/>
  <c r="P44" i="4" l="1"/>
  <c r="M46" i="4" s="1"/>
  <c r="P45" i="4"/>
  <c r="M48" i="4" s="1"/>
  <c r="P49" i="4" s="1"/>
  <c r="M52" i="4" s="1"/>
  <c r="M58" i="4" s="1"/>
  <c r="M55" i="2"/>
  <c r="M54" i="2"/>
  <c r="M53" i="2"/>
  <c r="P56" i="2" s="1"/>
  <c r="D39" i="2"/>
  <c r="D38" i="2" s="1"/>
  <c r="D37" i="2"/>
  <c r="M47" i="4" l="1"/>
  <c r="P55" i="2"/>
  <c r="M58" i="2" s="1"/>
  <c r="P59" i="2" s="1"/>
  <c r="M62" i="2" s="1"/>
  <c r="M66" i="2" s="1"/>
  <c r="P54" i="2"/>
  <c r="M56" i="2" s="1"/>
  <c r="F81" i="10"/>
  <c r="AG24" i="10"/>
  <c r="AG23" i="10"/>
  <c r="AG21" i="10"/>
  <c r="AG22" i="10"/>
  <c r="H21" i="10"/>
  <c r="F21" i="10"/>
  <c r="AE34" i="10"/>
  <c r="AE33" i="10"/>
  <c r="AE31" i="10"/>
  <c r="AE30" i="10"/>
  <c r="G21" i="10" s="1"/>
  <c r="AE28" i="10"/>
  <c r="M57" i="2" l="1"/>
  <c r="M31" i="18"/>
  <c r="L31" i="18"/>
  <c r="AU63" i="11"/>
  <c r="AU62" i="11"/>
  <c r="AU61" i="11"/>
  <c r="AU60" i="11"/>
  <c r="AT63" i="11"/>
  <c r="AT62" i="11"/>
  <c r="AT61" i="11"/>
  <c r="AT60" i="11"/>
  <c r="P35" i="11"/>
  <c r="P34" i="11"/>
  <c r="P41" i="11"/>
  <c r="O35" i="11"/>
  <c r="O34" i="11"/>
  <c r="G52" i="11"/>
  <c r="G51" i="11"/>
  <c r="G50" i="11"/>
  <c r="D52" i="11"/>
  <c r="D51" i="11" s="1"/>
  <c r="D50" i="11"/>
  <c r="H27" i="11"/>
  <c r="G27" i="11"/>
  <c r="H22" i="11"/>
  <c r="G22" i="11"/>
  <c r="AO24" i="11"/>
  <c r="M30" i="18" l="1"/>
  <c r="AM63" i="11"/>
  <c r="AM61" i="11"/>
  <c r="AM62" i="11"/>
  <c r="AT66" i="11"/>
  <c r="AS68" i="11"/>
  <c r="AM60" i="11"/>
  <c r="O41" i="11"/>
  <c r="Q41" i="11" s="1"/>
  <c r="AL53" i="10"/>
  <c r="AL52" i="10"/>
  <c r="AL51" i="10"/>
  <c r="AL50" i="10"/>
  <c r="AK53" i="10"/>
  <c r="AK52" i="10"/>
  <c r="AK51" i="10"/>
  <c r="AK50" i="10"/>
  <c r="AD53" i="10" l="1"/>
  <c r="AD51" i="10"/>
  <c r="AD52" i="10"/>
  <c r="AJ58" i="10"/>
  <c r="AK56" i="10"/>
  <c r="AD50" i="10"/>
  <c r="O18" i="10" l="1"/>
  <c r="N19" i="10" l="1"/>
  <c r="O19" i="10" s="1"/>
  <c r="O20" i="10" s="1"/>
  <c r="M28" i="10" s="1"/>
  <c r="O28" i="10" s="1"/>
  <c r="N42" i="10" s="1"/>
  <c r="AF43" i="10"/>
  <c r="O22" i="10" l="1"/>
  <c r="AF38" i="10"/>
  <c r="AF23" i="10"/>
  <c r="AR41" i="17" l="1"/>
  <c r="AQ41" i="17"/>
  <c r="R41" i="17" s="1"/>
  <c r="AR40" i="17"/>
  <c r="AQ40" i="17"/>
  <c r="AR39" i="17"/>
  <c r="AQ39" i="17"/>
  <c r="R39" i="17" s="1"/>
  <c r="AR38" i="17"/>
  <c r="AQ38" i="17"/>
  <c r="AR37" i="17"/>
  <c r="AQ37" i="17"/>
  <c r="R37" i="17" s="1"/>
  <c r="AR36" i="17"/>
  <c r="AQ36" i="17"/>
  <c r="AR35" i="17"/>
  <c r="AQ35" i="17"/>
  <c r="R35" i="17" s="1"/>
  <c r="AR34" i="17"/>
  <c r="AQ34" i="17"/>
  <c r="AR33" i="17"/>
  <c r="AQ33" i="17"/>
  <c r="R33" i="17" s="1"/>
  <c r="AR32" i="17"/>
  <c r="AQ32" i="17"/>
  <c r="AR31" i="17"/>
  <c r="AQ31" i="17"/>
  <c r="R31" i="17" s="1"/>
  <c r="AR30" i="17"/>
  <c r="AQ30" i="17"/>
  <c r="AR29" i="17"/>
  <c r="AQ29" i="17"/>
  <c r="R29" i="17" s="1"/>
  <c r="AR28" i="17"/>
  <c r="AQ28" i="17"/>
  <c r="AR27" i="17"/>
  <c r="AQ27" i="17"/>
  <c r="R27" i="17" s="1"/>
  <c r="R28" i="17" l="1"/>
  <c r="R30" i="17"/>
  <c r="R32" i="17"/>
  <c r="R34" i="17"/>
  <c r="R36" i="17"/>
  <c r="R38" i="17"/>
  <c r="R40" i="17"/>
  <c r="H23" i="10"/>
  <c r="F23" i="10"/>
  <c r="E24" i="10"/>
  <c r="C24" i="10"/>
  <c r="D61" i="10" l="1"/>
  <c r="D60" i="10" s="1"/>
  <c r="D59" i="10"/>
  <c r="G62" i="10" s="1"/>
  <c r="G61" i="10" l="1"/>
  <c r="D64" i="10" s="1"/>
  <c r="G65" i="10" s="1"/>
  <c r="D68" i="10" s="1"/>
  <c r="D72" i="10" s="1"/>
  <c r="G59" i="10"/>
  <c r="G60" i="10"/>
  <c r="D62" i="10" s="1"/>
  <c r="L29" i="17"/>
  <c r="O29" i="17" s="1"/>
  <c r="L41" i="17"/>
  <c r="O41" i="17" s="1"/>
  <c r="L40" i="17"/>
  <c r="O40" i="17" s="1"/>
  <c r="L39" i="17"/>
  <c r="O39" i="17" s="1"/>
  <c r="L38" i="17"/>
  <c r="O38" i="17" s="1"/>
  <c r="L37" i="17"/>
  <c r="O37" i="17" s="1"/>
  <c r="L36" i="17"/>
  <c r="O36" i="17" s="1"/>
  <c r="L35" i="17"/>
  <c r="O35" i="17" s="1"/>
  <c r="L34" i="17"/>
  <c r="O34" i="17" s="1"/>
  <c r="L33" i="17"/>
  <c r="O33" i="17" s="1"/>
  <c r="L32" i="17"/>
  <c r="O32" i="17" s="1"/>
  <c r="L31" i="17"/>
  <c r="O31" i="17" s="1"/>
  <c r="L30" i="17"/>
  <c r="O30" i="17" s="1"/>
  <c r="L28" i="17"/>
  <c r="O28" i="17" s="1"/>
  <c r="L27" i="17"/>
  <c r="O27" i="17" s="1"/>
  <c r="D63" i="10" l="1"/>
  <c r="AC34" i="17" l="1"/>
  <c r="AE34" i="17" s="1"/>
  <c r="AC41" i="17"/>
  <c r="AE41" i="17" s="1"/>
  <c r="AC29" i="17"/>
  <c r="AE29" i="17" s="1"/>
  <c r="AC40" i="17"/>
  <c r="AE40" i="17" s="1"/>
  <c r="AC27" i="17"/>
  <c r="AE27" i="17" s="1"/>
  <c r="AC36" i="17"/>
  <c r="AE36" i="17" s="1"/>
  <c r="AC33" i="17"/>
  <c r="AE33" i="17" s="1"/>
  <c r="AC31" i="17"/>
  <c r="AE31" i="17" s="1"/>
  <c r="AC30" i="17"/>
  <c r="AE30" i="17" s="1"/>
  <c r="AC32" i="17"/>
  <c r="AE32" i="17" s="1"/>
  <c r="AC39" i="17"/>
  <c r="AE39" i="17" s="1"/>
  <c r="AC28" i="17"/>
  <c r="AE28" i="17" s="1"/>
  <c r="AC38" i="17"/>
  <c r="AE38" i="17" s="1"/>
  <c r="AC37" i="17"/>
  <c r="AE37" i="17" s="1"/>
  <c r="P19" i="1" l="1"/>
  <c r="P18" i="1"/>
  <c r="P20" i="1"/>
  <c r="L21" i="3" l="1"/>
  <c r="AF66" i="3" l="1"/>
  <c r="AM65" i="3"/>
  <c r="AM64" i="3"/>
  <c r="AM63" i="3"/>
  <c r="AM62" i="3"/>
  <c r="AL65" i="3"/>
  <c r="AL64" i="3"/>
  <c r="AL63" i="3"/>
  <c r="AL62" i="3"/>
  <c r="AE63" i="3" l="1"/>
  <c r="AE64" i="3"/>
  <c r="AE65" i="3"/>
  <c r="AG66" i="3"/>
  <c r="AH66" i="3" s="1"/>
  <c r="AE62" i="3"/>
  <c r="AK69" i="3"/>
  <c r="AD65" i="3" l="1"/>
  <c r="AD64" i="3"/>
  <c r="AD63" i="3"/>
  <c r="AD62" i="3"/>
  <c r="AK65" i="3"/>
  <c r="AJ65" i="3"/>
  <c r="AF65" i="3"/>
  <c r="AK64" i="3"/>
  <c r="AJ64" i="3"/>
  <c r="AF64" i="3"/>
  <c r="AG64" i="3" s="1"/>
  <c r="AK63" i="3"/>
  <c r="AJ63" i="3"/>
  <c r="AF63" i="3"/>
  <c r="AJ62" i="3"/>
  <c r="AF62" i="3"/>
  <c r="AF61" i="3" s="1"/>
  <c r="N39" i="3"/>
  <c r="AJ67" i="3" l="1"/>
  <c r="AG62" i="3"/>
  <c r="AG61" i="3" s="1"/>
  <c r="AG63" i="3"/>
  <c r="AH63" i="3" s="1"/>
  <c r="AH64" i="3"/>
  <c r="AL67" i="3"/>
  <c r="AG65" i="3"/>
  <c r="AH65" i="3" s="1"/>
  <c r="AK62" i="3"/>
  <c r="AK67" i="3" s="1"/>
  <c r="AK68" i="3" s="1"/>
  <c r="D67" i="3"/>
  <c r="D68" i="3"/>
  <c r="D66" i="3"/>
  <c r="G69" i="3" s="1"/>
  <c r="AH62" i="3" l="1"/>
  <c r="AH61" i="3" s="1"/>
  <c r="G41" i="4"/>
  <c r="G40" i="2" l="1"/>
  <c r="B23" i="16"/>
  <c r="F18" i="16"/>
  <c r="F15" i="16"/>
  <c r="F21" i="16" s="1"/>
  <c r="F14" i="16"/>
  <c r="F13" i="16"/>
  <c r="B24" i="16"/>
  <c r="P48" i="4" l="1"/>
  <c r="M51" i="4" s="1"/>
  <c r="M57" i="4" s="1"/>
  <c r="P52" i="4" s="1"/>
  <c r="P58" i="2"/>
  <c r="M61" i="2" s="1"/>
  <c r="M65" i="2" s="1"/>
  <c r="P62" i="2" s="1"/>
  <c r="G64" i="10"/>
  <c r="D67" i="10" s="1"/>
  <c r="D71" i="10" s="1"/>
  <c r="G69" i="10" s="1"/>
  <c r="P47" i="4"/>
  <c r="M50" i="4" s="1"/>
  <c r="M56" i="4" s="1"/>
  <c r="P57" i="2"/>
  <c r="M60" i="2" s="1"/>
  <c r="M64" i="2" s="1"/>
  <c r="G63" i="10"/>
  <c r="D66" i="10" s="1"/>
  <c r="D70" i="10" s="1"/>
  <c r="G39" i="2"/>
  <c r="D41" i="2" s="1"/>
  <c r="G38" i="2"/>
  <c r="F20" i="16"/>
  <c r="F28" i="16" s="1"/>
  <c r="F19" i="16"/>
  <c r="F27" i="16" s="1"/>
  <c r="F32" i="16" s="1"/>
  <c r="F29" i="16"/>
  <c r="F34" i="16" s="1"/>
  <c r="V26" i="4"/>
  <c r="N28" i="3"/>
  <c r="N27" i="3"/>
  <c r="L18" i="3"/>
  <c r="L19" i="3"/>
  <c r="L20" i="3"/>
  <c r="L17" i="3"/>
  <c r="K18" i="3"/>
  <c r="K19" i="3"/>
  <c r="K20" i="3"/>
  <c r="K21" i="3"/>
  <c r="K17" i="3"/>
  <c r="F33" i="16" l="1"/>
  <c r="F37" i="16" s="1"/>
  <c r="F40" i="16" s="1"/>
  <c r="H37" i="16"/>
  <c r="H40" i="16" s="1"/>
  <c r="D40" i="2"/>
  <c r="G41" i="2" s="1"/>
  <c r="D44" i="2" s="1"/>
  <c r="D48" i="2" s="1"/>
  <c r="G42" i="2"/>
  <c r="D45" i="2" s="1"/>
  <c r="D49" i="2" s="1"/>
  <c r="D42" i="2"/>
  <c r="G43" i="2" s="1"/>
  <c r="D46" i="2" s="1"/>
  <c r="D50" i="2" s="1"/>
  <c r="M39" i="3"/>
  <c r="O39" i="3" l="1"/>
  <c r="G46" i="2"/>
  <c r="AH29" i="3"/>
  <c r="O18" i="3" s="1"/>
  <c r="AH30" i="3"/>
  <c r="O19" i="3" s="1"/>
  <c r="AH31" i="3"/>
  <c r="O20" i="3" s="1"/>
  <c r="AH32" i="3"/>
  <c r="O21" i="3" s="1"/>
  <c r="AH28" i="3"/>
  <c r="O17" i="3" s="1"/>
  <c r="M17" i="3" l="1"/>
  <c r="N17" i="3"/>
  <c r="O24" i="3"/>
  <c r="N18" i="3"/>
  <c r="M18" i="3"/>
  <c r="N21" i="3"/>
  <c r="M21" i="3"/>
  <c r="N20" i="3"/>
  <c r="M20" i="3"/>
  <c r="M19" i="3"/>
  <c r="N19" i="3"/>
  <c r="Z25" i="2"/>
  <c r="O38" i="3" l="1"/>
  <c r="O40" i="3" s="1"/>
  <c r="O41" i="3" s="1"/>
  <c r="N24" i="3"/>
  <c r="N38" i="3" s="1"/>
  <c r="M24" i="3"/>
  <c r="Q19" i="2"/>
  <c r="Q18" i="2"/>
  <c r="P19" i="2"/>
  <c r="P18" i="2"/>
  <c r="O19" i="2"/>
  <c r="O18" i="2"/>
  <c r="M47" i="3" l="1"/>
  <c r="O47" i="3" s="1"/>
  <c r="M38" i="3"/>
  <c r="M46" i="3" s="1"/>
  <c r="O46" i="3" s="1"/>
  <c r="Q19" i="4"/>
  <c r="Q18" i="4"/>
  <c r="P19" i="4"/>
  <c r="P18" i="4"/>
  <c r="O19" i="4"/>
  <c r="O18" i="4"/>
  <c r="M40" i="3" l="1"/>
  <c r="M41" i="3" s="1"/>
  <c r="N40" i="3"/>
  <c r="N41" i="3" s="1"/>
  <c r="W22" i="4"/>
  <c r="M56" i="3" l="1"/>
  <c r="AX52" i="4"/>
  <c r="AX51" i="4"/>
  <c r="AX50" i="4"/>
  <c r="AX49" i="4"/>
  <c r="AX48" i="4"/>
  <c r="AW52" i="4"/>
  <c r="AW51" i="4"/>
  <c r="AW50" i="4"/>
  <c r="AW48" i="4"/>
  <c r="AW49" i="4"/>
  <c r="AW54" i="4" l="1"/>
  <c r="AV56" i="4"/>
  <c r="AP51" i="4"/>
  <c r="AP48" i="4"/>
  <c r="AP49" i="4"/>
  <c r="AP52" i="4"/>
  <c r="AP50" i="4"/>
  <c r="D23" i="4" l="1"/>
  <c r="G21" i="2"/>
  <c r="P20" i="4"/>
  <c r="Q20" i="4"/>
  <c r="P21" i="4"/>
  <c r="Q21" i="4"/>
  <c r="P22" i="4"/>
  <c r="Q22" i="4"/>
  <c r="Q17" i="4"/>
  <c r="P17" i="4"/>
  <c r="O20" i="4"/>
  <c r="O21" i="4"/>
  <c r="O22" i="4"/>
  <c r="O17" i="4"/>
  <c r="P20" i="2"/>
  <c r="C21" i="13"/>
  <c r="AX18" i="4"/>
  <c r="AS18" i="4" s="1"/>
  <c r="AX17" i="4"/>
  <c r="AS17" i="4" s="1"/>
  <c r="AX16" i="4"/>
  <c r="AS16" i="4" s="1"/>
  <c r="L21" i="4" l="1"/>
  <c r="L22" i="4"/>
  <c r="L17" i="4"/>
  <c r="L20" i="4"/>
  <c r="N24" i="4"/>
  <c r="P34" i="4" l="1"/>
  <c r="P33" i="4"/>
  <c r="P29" i="4"/>
  <c r="P24" i="4"/>
  <c r="O24" i="4"/>
  <c r="Q24" i="4"/>
  <c r="BC63" i="2"/>
  <c r="O26" i="4" l="1"/>
  <c r="O27" i="4" s="1"/>
  <c r="N45" i="4"/>
  <c r="N44" i="4" s="1"/>
  <c r="Q26" i="4"/>
  <c r="Q27" i="4" s="1"/>
  <c r="N43" i="4"/>
  <c r="Q46" i="4" s="1"/>
  <c r="P26" i="4"/>
  <c r="P27" i="4" s="1"/>
  <c r="N36" i="4"/>
  <c r="P36" i="4" s="1"/>
  <c r="N33" i="4"/>
  <c r="O25" i="2"/>
  <c r="O24" i="2"/>
  <c r="Q44" i="4" l="1"/>
  <c r="N46" i="4" s="1"/>
  <c r="Q47" i="4" s="1"/>
  <c r="N50" i="4" s="1"/>
  <c r="N56" i="4" s="1"/>
  <c r="Q45" i="4"/>
  <c r="N48" i="4" s="1"/>
  <c r="Q49" i="4" s="1"/>
  <c r="N52" i="4" s="1"/>
  <c r="N58" i="4" s="1"/>
  <c r="BD65" i="2"/>
  <c r="BD64" i="2"/>
  <c r="BD62" i="2"/>
  <c r="BD61" i="2"/>
  <c r="BD60" i="2"/>
  <c r="BC65" i="2"/>
  <c r="N47" i="4" l="1"/>
  <c r="Q48" i="4" s="1"/>
  <c r="N51" i="4" s="1"/>
  <c r="N57" i="4" s="1"/>
  <c r="P53" i="4" s="1"/>
  <c r="AV65" i="2"/>
  <c r="BC64" i="2"/>
  <c r="AV64" i="2" s="1"/>
  <c r="AV63" i="2"/>
  <c r="BC62" i="2"/>
  <c r="AV62" i="2" s="1"/>
  <c r="BC61" i="2"/>
  <c r="AV61" i="2" s="1"/>
  <c r="BC60" i="2"/>
  <c r="AV60" i="2" s="1"/>
  <c r="Y32" i="2" l="1"/>
  <c r="Y31" i="2"/>
  <c r="Y37" i="2"/>
  <c r="X37" i="2" l="1"/>
  <c r="Z37" i="2" s="1"/>
  <c r="BD18" i="2"/>
  <c r="AY18" i="2" s="1"/>
  <c r="BD17" i="2"/>
  <c r="AY17" i="2" s="1"/>
  <c r="BD16" i="2" l="1"/>
  <c r="AY16" i="2" s="1"/>
  <c r="AL63" i="11" l="1"/>
  <c r="AL62" i="11"/>
  <c r="AL61" i="11"/>
  <c r="AN64" i="11" l="1"/>
  <c r="AO64" i="11" s="1"/>
  <c r="AR63" i="11"/>
  <c r="AN63" i="11"/>
  <c r="AR62" i="11"/>
  <c r="AN62" i="11"/>
  <c r="AR61" i="11"/>
  <c r="AN61" i="11"/>
  <c r="AR60" i="11"/>
  <c r="AN60" i="11"/>
  <c r="AN59" i="11" s="1"/>
  <c r="AL60" i="11"/>
  <c r="AQ38" i="11"/>
  <c r="Q26" i="11"/>
  <c r="Q27" i="11"/>
  <c r="Q28" i="11"/>
  <c r="Q29" i="11"/>
  <c r="Q25" i="11"/>
  <c r="O20" i="11"/>
  <c r="O21" i="11"/>
  <c r="O22" i="11"/>
  <c r="O23" i="11"/>
  <c r="O24" i="11"/>
  <c r="O19" i="11"/>
  <c r="L26" i="11"/>
  <c r="L27" i="11"/>
  <c r="L28" i="11"/>
  <c r="L29" i="11"/>
  <c r="L30" i="11"/>
  <c r="L25" i="11"/>
  <c r="L20" i="11"/>
  <c r="L21" i="11"/>
  <c r="L22" i="11"/>
  <c r="L23" i="11"/>
  <c r="L24" i="11"/>
  <c r="L19" i="11"/>
  <c r="AT39" i="11"/>
  <c r="AS43" i="11"/>
  <c r="P24" i="11" s="1"/>
  <c r="AS39" i="11"/>
  <c r="P20" i="11" s="1"/>
  <c r="AP44" i="11"/>
  <c r="AO44" i="11"/>
  <c r="AO32" i="11"/>
  <c r="H29" i="11" s="1"/>
  <c r="C22" i="11"/>
  <c r="C23" i="11"/>
  <c r="C24" i="11"/>
  <c r="C25" i="11"/>
  <c r="C26" i="11"/>
  <c r="C27" i="11"/>
  <c r="C28" i="11"/>
  <c r="C29" i="11"/>
  <c r="C21" i="11"/>
  <c r="H23" i="11"/>
  <c r="H24" i="11"/>
  <c r="H25" i="11"/>
  <c r="AO29" i="11"/>
  <c r="H26" i="11" s="1"/>
  <c r="H21" i="11"/>
  <c r="G23" i="11"/>
  <c r="G24" i="11"/>
  <c r="G25" i="11"/>
  <c r="G26" i="11"/>
  <c r="G29" i="11"/>
  <c r="G21" i="11"/>
  <c r="F27" i="11"/>
  <c r="F28" i="11"/>
  <c r="F29" i="11"/>
  <c r="F22" i="11"/>
  <c r="F23" i="11"/>
  <c r="F24" i="11"/>
  <c r="F25" i="11"/>
  <c r="F26" i="11"/>
  <c r="F21" i="11"/>
  <c r="O30" i="11" l="1"/>
  <c r="AS63" i="11"/>
  <c r="AS62" i="11"/>
  <c r="AS61" i="11"/>
  <c r="AR66" i="11"/>
  <c r="AO62" i="11"/>
  <c r="AP62" i="11" s="1"/>
  <c r="AO60" i="11"/>
  <c r="AO59" i="11" s="1"/>
  <c r="AO63" i="11"/>
  <c r="AP63" i="11" s="1"/>
  <c r="AP64" i="11" s="1"/>
  <c r="AO61" i="11"/>
  <c r="AP61" i="11" s="1"/>
  <c r="Q30" i="11"/>
  <c r="G30" i="11"/>
  <c r="D70" i="11" s="1"/>
  <c r="E70" i="11" s="1"/>
  <c r="F69" i="11" s="1"/>
  <c r="G67" i="11" s="1"/>
  <c r="F30" i="11"/>
  <c r="F37" i="11" s="1"/>
  <c r="H30" i="11"/>
  <c r="D68" i="11" s="1"/>
  <c r="E68" i="11" s="1"/>
  <c r="AI52" i="10"/>
  <c r="AE52" i="10"/>
  <c r="AF52" i="10" s="1"/>
  <c r="AE51" i="10"/>
  <c r="AC53" i="10"/>
  <c r="AC52" i="10"/>
  <c r="AC51" i="10"/>
  <c r="AC50" i="10"/>
  <c r="F42" i="11" l="1"/>
  <c r="X19" i="11" s="1"/>
  <c r="X17" i="11"/>
  <c r="P40" i="11"/>
  <c r="P42" i="11" s="1"/>
  <c r="P43" i="11" s="1"/>
  <c r="O40" i="11"/>
  <c r="O42" i="11" s="1"/>
  <c r="O43" i="11" s="1"/>
  <c r="G32" i="11"/>
  <c r="G33" i="11" s="1"/>
  <c r="E52" i="11"/>
  <c r="H32" i="11"/>
  <c r="H33" i="11" s="1"/>
  <c r="E51" i="11"/>
  <c r="F32" i="11"/>
  <c r="F33" i="11" s="1"/>
  <c r="D37" i="11"/>
  <c r="E50" i="11"/>
  <c r="H53" i="11" s="1"/>
  <c r="G53" i="11"/>
  <c r="AS60" i="11"/>
  <c r="AP60" i="11"/>
  <c r="AP59" i="11" s="1"/>
  <c r="AG52" i="10"/>
  <c r="O23" i="10"/>
  <c r="AQ39" i="11"/>
  <c r="AR39" i="11"/>
  <c r="AQ40" i="11"/>
  <c r="AR40" i="11"/>
  <c r="AS40" i="11"/>
  <c r="P21" i="11" s="1"/>
  <c r="AT40" i="11"/>
  <c r="AQ41" i="11"/>
  <c r="AR41" i="11"/>
  <c r="AS41" i="11"/>
  <c r="P22" i="11" s="1"/>
  <c r="AT41" i="11"/>
  <c r="AQ42" i="11"/>
  <c r="AR42" i="11"/>
  <c r="AS42" i="11"/>
  <c r="P23" i="11" s="1"/>
  <c r="AT42" i="11"/>
  <c r="AQ43" i="11"/>
  <c r="AR43" i="11"/>
  <c r="AT43" i="11"/>
  <c r="AR38" i="11"/>
  <c r="AS38" i="11"/>
  <c r="AT38" i="11"/>
  <c r="AN54" i="11"/>
  <c r="AM54" i="11"/>
  <c r="AN44" i="11"/>
  <c r="AM44" i="11"/>
  <c r="AQ44" i="11" s="1"/>
  <c r="AE54" i="10"/>
  <c r="AF54" i="10" s="1"/>
  <c r="AI53" i="10"/>
  <c r="AE53" i="10"/>
  <c r="AI51" i="10"/>
  <c r="AF51" i="10"/>
  <c r="AG51" i="10" s="1"/>
  <c r="AI50" i="10"/>
  <c r="AE50" i="10"/>
  <c r="AE49" i="10" s="1"/>
  <c r="C39" i="10"/>
  <c r="C38" i="10"/>
  <c r="H33" i="10"/>
  <c r="D78" i="10" s="1"/>
  <c r="G33" i="10"/>
  <c r="F33" i="10"/>
  <c r="H32" i="10"/>
  <c r="G32" i="10"/>
  <c r="F32" i="10"/>
  <c r="H34" i="10"/>
  <c r="G34" i="10"/>
  <c r="F34" i="10"/>
  <c r="D79" i="10" l="1"/>
  <c r="D77" i="10"/>
  <c r="AI56" i="10"/>
  <c r="AS66" i="11"/>
  <c r="AS67" i="11" s="1"/>
  <c r="N47" i="11"/>
  <c r="P47" i="11" s="1"/>
  <c r="X20" i="11" s="1"/>
  <c r="N48" i="11"/>
  <c r="P48" i="11" s="1"/>
  <c r="X21" i="11" s="1"/>
  <c r="H50" i="11"/>
  <c r="H52" i="11"/>
  <c r="E55" i="11" s="1"/>
  <c r="H56" i="11" s="1"/>
  <c r="E59" i="11" s="1"/>
  <c r="E63" i="11" s="1"/>
  <c r="H51" i="11"/>
  <c r="E53" i="11" s="1"/>
  <c r="H54" i="11" s="1"/>
  <c r="E57" i="11" s="1"/>
  <c r="E61" i="11" s="1"/>
  <c r="D55" i="11"/>
  <c r="G56" i="11" s="1"/>
  <c r="D59" i="11" s="1"/>
  <c r="D63" i="11" s="1"/>
  <c r="D53" i="11"/>
  <c r="G54" i="11" s="1"/>
  <c r="D57" i="11" s="1"/>
  <c r="D61" i="11" s="1"/>
  <c r="AJ52" i="10"/>
  <c r="AR44" i="11"/>
  <c r="AT44" i="11"/>
  <c r="AS44" i="11"/>
  <c r="P19" i="11"/>
  <c r="P30" i="11" s="1"/>
  <c r="Q40" i="11" s="1"/>
  <c r="Q42" i="11" s="1"/>
  <c r="Q43" i="11" s="1"/>
  <c r="AJ51" i="10"/>
  <c r="AJ53" i="10"/>
  <c r="AF50" i="10"/>
  <c r="AF49" i="10" s="1"/>
  <c r="AF53" i="10"/>
  <c r="AG53" i="10" s="1"/>
  <c r="AG54" i="10" s="1"/>
  <c r="F35" i="10"/>
  <c r="F39" i="10" s="1"/>
  <c r="G35" i="10"/>
  <c r="G39" i="10" s="1"/>
  <c r="H35" i="10"/>
  <c r="H39" i="10" s="1"/>
  <c r="F24" i="10"/>
  <c r="H24" i="10"/>
  <c r="F25" i="10"/>
  <c r="H25" i="10"/>
  <c r="F26" i="10"/>
  <c r="H26" i="10"/>
  <c r="H22" i="10"/>
  <c r="F22" i="10"/>
  <c r="H19" i="10"/>
  <c r="F19" i="10"/>
  <c r="G26" i="10"/>
  <c r="G25" i="10"/>
  <c r="AE32" i="10"/>
  <c r="G24" i="10" s="1"/>
  <c r="AE29" i="10"/>
  <c r="G19" i="10"/>
  <c r="C25" i="10"/>
  <c r="C26" i="10"/>
  <c r="C19" i="10"/>
  <c r="X22" i="11" l="1"/>
  <c r="D54" i="11"/>
  <c r="G55" i="11" s="1"/>
  <c r="D58" i="11" s="1"/>
  <c r="D62" i="11" s="1"/>
  <c r="G60" i="11" s="1"/>
  <c r="E54" i="11"/>
  <c r="H55" i="11" s="1"/>
  <c r="E58" i="11" s="1"/>
  <c r="E62" i="11" s="1"/>
  <c r="G61" i="11" s="1"/>
  <c r="G22" i="10"/>
  <c r="G23" i="10"/>
  <c r="AJ50" i="10"/>
  <c r="AJ56" i="10" s="1"/>
  <c r="AJ57" i="10" s="1"/>
  <c r="AG50" i="10"/>
  <c r="AG49" i="10" s="1"/>
  <c r="F27" i="10"/>
  <c r="F38" i="10" s="1"/>
  <c r="F40" i="10" s="1"/>
  <c r="H27" i="10"/>
  <c r="AQ52" i="4"/>
  <c r="AR52" i="4" s="1"/>
  <c r="AQ51" i="4"/>
  <c r="AR51" i="4" s="1"/>
  <c r="AQ50" i="4"/>
  <c r="AR50" i="4" s="1"/>
  <c r="AQ49" i="4"/>
  <c r="AR49" i="4" s="1"/>
  <c r="AQ48" i="4"/>
  <c r="AR48" i="4" s="1"/>
  <c r="AW65" i="2"/>
  <c r="AX65" i="2" s="1"/>
  <c r="AW64" i="2"/>
  <c r="AX64" i="2" s="1"/>
  <c r="AW63" i="2"/>
  <c r="AX63" i="2" s="1"/>
  <c r="AW62" i="2"/>
  <c r="AX62" i="2" s="1"/>
  <c r="AW61" i="2"/>
  <c r="AX61" i="2" s="1"/>
  <c r="AW60" i="2"/>
  <c r="AX60" i="2" s="1"/>
  <c r="K20" i="1"/>
  <c r="L20" i="1" s="1"/>
  <c r="K19" i="1"/>
  <c r="L19" i="1" s="1"/>
  <c r="K18" i="1"/>
  <c r="L18" i="1" s="1"/>
  <c r="K16" i="1"/>
  <c r="L16" i="1" s="1"/>
  <c r="G48" i="10" l="1"/>
  <c r="F39" i="11"/>
  <c r="X18" i="11" s="1"/>
  <c r="X23" i="11" s="1"/>
  <c r="H38" i="10"/>
  <c r="H40" i="10" s="1"/>
  <c r="H43" i="10" s="1"/>
  <c r="H44" i="10" s="1"/>
  <c r="G27" i="10"/>
  <c r="G38" i="10" s="1"/>
  <c r="G40" i="10" s="1"/>
  <c r="F43" i="10"/>
  <c r="F44" i="10" s="1"/>
  <c r="E48" i="10"/>
  <c r="N39" i="10" s="1"/>
  <c r="E59" i="10"/>
  <c r="AN32" i="3"/>
  <c r="AM32" i="3"/>
  <c r="AL32" i="3"/>
  <c r="AN31" i="3"/>
  <c r="AM31" i="3"/>
  <c r="AL31" i="3"/>
  <c r="AN30" i="3"/>
  <c r="AM30" i="3"/>
  <c r="AL30" i="3"/>
  <c r="AN29" i="3"/>
  <c r="AM29" i="3"/>
  <c r="AL29" i="3"/>
  <c r="AN28" i="3"/>
  <c r="AM28" i="3"/>
  <c r="AL28" i="3"/>
  <c r="AU52" i="4"/>
  <c r="AO52" i="4"/>
  <c r="AU51" i="4"/>
  <c r="AO51" i="4"/>
  <c r="AU50" i="4"/>
  <c r="AO50" i="4"/>
  <c r="AU49" i="4"/>
  <c r="AO49" i="4"/>
  <c r="AU48" i="4"/>
  <c r="AO48" i="4"/>
  <c r="AP19" i="4"/>
  <c r="BA65" i="2"/>
  <c r="AU65" i="2"/>
  <c r="BA64" i="2"/>
  <c r="AU64" i="2"/>
  <c r="BA63" i="2"/>
  <c r="AU63" i="2"/>
  <c r="BA62" i="2"/>
  <c r="AU62" i="2"/>
  <c r="BA61" i="2"/>
  <c r="AU61" i="2"/>
  <c r="BA60" i="2"/>
  <c r="AU60" i="2"/>
  <c r="O16" i="1"/>
  <c r="O18" i="1"/>
  <c r="O19" i="1"/>
  <c r="O20" i="1"/>
  <c r="D76" i="10" l="1"/>
  <c r="E61" i="10"/>
  <c r="D81" i="10"/>
  <c r="AU54" i="4"/>
  <c r="D80" i="10"/>
  <c r="E76" i="10" s="1"/>
  <c r="E60" i="10"/>
  <c r="H59" i="10" s="1"/>
  <c r="G43" i="10"/>
  <c r="G44" i="10" s="1"/>
  <c r="H60" i="10"/>
  <c r="E62" i="10" s="1"/>
  <c r="H63" i="10" s="1"/>
  <c r="H62" i="10"/>
  <c r="O22" i="1"/>
  <c r="BA67" i="2"/>
  <c r="H61" i="10" l="1"/>
  <c r="E64" i="10" s="1"/>
  <c r="H65" i="10" s="1"/>
  <c r="E68" i="10" s="1"/>
  <c r="E72" i="10" s="1"/>
  <c r="F80" i="10"/>
  <c r="F76" i="10" s="1"/>
  <c r="G76" i="10" s="1"/>
  <c r="L76" i="10" s="1"/>
  <c r="E78" i="10"/>
  <c r="E77" i="10"/>
  <c r="E79" i="10"/>
  <c r="E63" i="10"/>
  <c r="H64" i="10" s="1"/>
  <c r="E67" i="10" s="1"/>
  <c r="E71" i="10" s="1"/>
  <c r="E66" i="10"/>
  <c r="E70" i="10" s="1"/>
  <c r="AV51" i="4"/>
  <c r="AV52" i="4"/>
  <c r="BB61" i="2"/>
  <c r="AV50" i="4"/>
  <c r="AV49" i="4"/>
  <c r="BB62" i="2"/>
  <c r="BB65" i="2"/>
  <c r="BC67" i="2"/>
  <c r="BB64" i="2"/>
  <c r="AV48" i="4"/>
  <c r="BC69" i="2"/>
  <c r="BB63" i="2"/>
  <c r="BB60" i="2"/>
  <c r="P24" i="1"/>
  <c r="P16" i="1"/>
  <c r="Q22" i="1"/>
  <c r="F79" i="10" l="1"/>
  <c r="G79" i="10" s="1"/>
  <c r="L79" i="10" s="1"/>
  <c r="F77" i="10"/>
  <c r="G77" i="10" s="1"/>
  <c r="L77" i="10" s="1"/>
  <c r="F78" i="10"/>
  <c r="G78" i="10" s="1"/>
  <c r="L78" i="10" s="1"/>
  <c r="G70" i="10"/>
  <c r="G49" i="10" s="1"/>
  <c r="AV54" i="4"/>
  <c r="AV55" i="4" s="1"/>
  <c r="BB67" i="2"/>
  <c r="BB68" i="2" s="1"/>
  <c r="P22" i="1"/>
  <c r="P23" i="1" s="1"/>
  <c r="L80" i="10" l="1"/>
  <c r="G51" i="10" s="1"/>
  <c r="N41" i="10" s="1"/>
  <c r="N43" i="10" s="1"/>
  <c r="N40" i="10"/>
  <c r="AR53" i="4"/>
  <c r="AR47" i="4"/>
  <c r="AX59" i="2"/>
  <c r="AX66" i="2"/>
  <c r="L15" i="1"/>
  <c r="N44" i="10" l="1"/>
  <c r="AS50" i="4"/>
  <c r="AS51" i="4"/>
  <c r="AS49" i="4"/>
  <c r="AS52" i="4"/>
  <c r="AS53" i="4" s="1"/>
  <c r="AQ53" i="4"/>
  <c r="AS48" i="4"/>
  <c r="AS47" i="4" s="1"/>
  <c r="AQ47" i="4"/>
  <c r="AY63" i="2"/>
  <c r="AY61" i="2"/>
  <c r="AW66" i="2"/>
  <c r="AY64" i="2"/>
  <c r="AY66" i="2" s="1"/>
  <c r="AY60" i="2"/>
  <c r="AY59" i="2" s="1"/>
  <c r="AW59" i="2"/>
  <c r="AY62" i="2"/>
  <c r="AY65" i="2"/>
  <c r="M20" i="1"/>
  <c r="M19" i="1"/>
  <c r="K15" i="1"/>
  <c r="M16" i="1"/>
  <c r="M15" i="1" s="1"/>
  <c r="M18" i="1"/>
  <c r="E38" i="3"/>
  <c r="F38" i="3"/>
  <c r="G38" i="3"/>
  <c r="E39" i="3"/>
  <c r="F39" i="3"/>
  <c r="G39" i="3"/>
  <c r="E40" i="3"/>
  <c r="F40" i="3"/>
  <c r="G40" i="3"/>
  <c r="E41" i="3"/>
  <c r="F41" i="3"/>
  <c r="G41" i="3"/>
  <c r="G37" i="3"/>
  <c r="F37" i="3"/>
  <c r="E37" i="3"/>
  <c r="D42" i="3" l="1"/>
  <c r="D47" i="3" s="1"/>
  <c r="F27" i="3"/>
  <c r="F30" i="3"/>
  <c r="F28" i="3"/>
  <c r="E30" i="3"/>
  <c r="E28" i="3"/>
  <c r="G30" i="3"/>
  <c r="G28" i="3"/>
  <c r="E27" i="3"/>
  <c r="G27" i="3"/>
  <c r="D22" i="3"/>
  <c r="D45" i="3" s="1"/>
  <c r="G21" i="3"/>
  <c r="G20" i="3"/>
  <c r="G19" i="3"/>
  <c r="G18" i="3"/>
  <c r="F21" i="3"/>
  <c r="F20" i="3"/>
  <c r="F19" i="3"/>
  <c r="F18" i="3"/>
  <c r="E21" i="3"/>
  <c r="E20" i="3"/>
  <c r="E19" i="3"/>
  <c r="E18" i="3"/>
  <c r="G17" i="3"/>
  <c r="F17" i="3"/>
  <c r="E17" i="3"/>
  <c r="G29" i="3" l="1"/>
  <c r="G31" i="3"/>
  <c r="F29" i="3"/>
  <c r="F31" i="3"/>
  <c r="E29" i="3"/>
  <c r="D32" i="3"/>
  <c r="D46" i="3" s="1"/>
  <c r="E31" i="3"/>
  <c r="G42" i="3"/>
  <c r="G47" i="3" s="1"/>
  <c r="G22" i="3"/>
  <c r="E22" i="3"/>
  <c r="F22" i="3"/>
  <c r="G32" i="3" l="1"/>
  <c r="G46" i="3" s="1"/>
  <c r="F45" i="3"/>
  <c r="E45" i="3"/>
  <c r="G45" i="3"/>
  <c r="F32" i="3"/>
  <c r="F46" i="3" s="1"/>
  <c r="E32" i="3"/>
  <c r="E46" i="3" s="1"/>
  <c r="E42" i="3"/>
  <c r="E47" i="3" s="1"/>
  <c r="F42" i="3"/>
  <c r="F47" i="3" s="1"/>
  <c r="G48" i="3" l="1"/>
  <c r="F56" i="3" s="1"/>
  <c r="E48" i="3"/>
  <c r="E68" i="3" s="1"/>
  <c r="F48" i="3"/>
  <c r="E67" i="3" l="1"/>
  <c r="H68" i="3" s="1"/>
  <c r="E71" i="3" s="1"/>
  <c r="H72" i="3" s="1"/>
  <c r="G52" i="3"/>
  <c r="G53" i="3" s="1"/>
  <c r="E66" i="3"/>
  <c r="D56" i="3"/>
  <c r="F52" i="3"/>
  <c r="F53" i="3" s="1"/>
  <c r="E52" i="3"/>
  <c r="E53" i="3" s="1"/>
  <c r="H16" i="4"/>
  <c r="H18" i="4" s="1"/>
  <c r="H19" i="4" s="1"/>
  <c r="W18" i="4"/>
  <c r="W19" i="4"/>
  <c r="W20" i="4"/>
  <c r="W21" i="4"/>
  <c r="W17" i="4"/>
  <c r="U18" i="4"/>
  <c r="U19" i="4"/>
  <c r="U20" i="4"/>
  <c r="U21" i="4"/>
  <c r="U17" i="4"/>
  <c r="H67" i="3" l="1"/>
  <c r="E69" i="3" s="1"/>
  <c r="H70" i="3" s="1"/>
  <c r="M54" i="3"/>
  <c r="M57" i="3" s="1"/>
  <c r="H66" i="3"/>
  <c r="E70" i="3" s="1"/>
  <c r="H71" i="3" s="1"/>
  <c r="H69" i="3"/>
  <c r="W26" i="4"/>
  <c r="W32" i="4" s="1"/>
  <c r="W33" i="4" s="1"/>
  <c r="AC20" i="4" s="1"/>
  <c r="F16" i="4"/>
  <c r="E16" i="4"/>
  <c r="E40" i="4" s="1"/>
  <c r="G16" i="4"/>
  <c r="W28" i="2"/>
  <c r="Z18" i="2"/>
  <c r="Z19" i="2"/>
  <c r="Z20" i="2"/>
  <c r="Z21" i="2"/>
  <c r="Z22" i="2"/>
  <c r="Z23" i="2"/>
  <c r="Z24" i="2"/>
  <c r="Z17" i="2"/>
  <c r="Y22" i="2"/>
  <c r="Y23" i="2"/>
  <c r="Y24" i="2"/>
  <c r="X22" i="2"/>
  <c r="X23" i="2"/>
  <c r="X24" i="2"/>
  <c r="U18" i="2"/>
  <c r="U20" i="2"/>
  <c r="U21" i="2"/>
  <c r="U22" i="2"/>
  <c r="U23" i="2"/>
  <c r="U24" i="2"/>
  <c r="U17" i="2"/>
  <c r="E73" i="3" l="1"/>
  <c r="E77" i="3" s="1"/>
  <c r="E38" i="4"/>
  <c r="H41" i="4" s="1"/>
  <c r="E39" i="4"/>
  <c r="E75" i="3"/>
  <c r="E79" i="3" s="1"/>
  <c r="E74" i="3"/>
  <c r="E78" i="3" s="1"/>
  <c r="Z28" i="2"/>
  <c r="Y36" i="2" s="1"/>
  <c r="F18" i="4"/>
  <c r="F19" i="4" s="1"/>
  <c r="E30" i="4"/>
  <c r="G30" i="4" s="1"/>
  <c r="AC19" i="4" s="1"/>
  <c r="E27" i="4"/>
  <c r="AC17" i="4" s="1"/>
  <c r="P39" i="2"/>
  <c r="G18" i="4"/>
  <c r="G19" i="4" s="1"/>
  <c r="E18" i="4"/>
  <c r="E19" i="4" s="1"/>
  <c r="W28" i="4"/>
  <c r="W29" i="4" s="1"/>
  <c r="Y28" i="2"/>
  <c r="X28" i="2"/>
  <c r="X36" i="2" s="1"/>
  <c r="AC21" i="4" l="1"/>
  <c r="H39" i="4"/>
  <c r="E41" i="4" s="1"/>
  <c r="H42" i="4" s="1"/>
  <c r="E45" i="4" s="1"/>
  <c r="E51" i="4" s="1"/>
  <c r="H40" i="4"/>
  <c r="E43" i="4" s="1"/>
  <c r="H44" i="4" s="1"/>
  <c r="E47" i="4" s="1"/>
  <c r="E53" i="4" s="1"/>
  <c r="X38" i="2"/>
  <c r="X39" i="2" s="1"/>
  <c r="Z36" i="2"/>
  <c r="Z38" i="2" s="1"/>
  <c r="Z39" i="2" s="1"/>
  <c r="G77" i="3"/>
  <c r="W43" i="2"/>
  <c r="Y43" i="2" s="1"/>
  <c r="AF20" i="2" s="1"/>
  <c r="W44" i="2"/>
  <c r="Y44" i="2" s="1"/>
  <c r="AF21" i="2" s="1"/>
  <c r="Y38" i="2"/>
  <c r="Y39" i="2" s="1"/>
  <c r="G16" i="2"/>
  <c r="F16" i="2"/>
  <c r="H16" i="2"/>
  <c r="E42" i="4" l="1"/>
  <c r="H43" i="4" s="1"/>
  <c r="E46" i="4" s="1"/>
  <c r="E52" i="4" s="1"/>
  <c r="G48" i="4"/>
  <c r="F18" i="2"/>
  <c r="F19" i="2" s="1"/>
  <c r="E28" i="2"/>
  <c r="G28" i="2" s="1"/>
  <c r="E39" i="2"/>
  <c r="E38" i="2" s="1"/>
  <c r="E37" i="2"/>
  <c r="H40" i="2" s="1"/>
  <c r="E25" i="2"/>
  <c r="H18" i="2"/>
  <c r="H19" i="2" s="1"/>
  <c r="G18" i="2"/>
  <c r="G19" i="2" s="1"/>
  <c r="L32" i="2"/>
  <c r="L20" i="2"/>
  <c r="L21" i="2"/>
  <c r="L22" i="2"/>
  <c r="L23" i="2"/>
  <c r="L25" i="2"/>
  <c r="L26" i="2"/>
  <c r="L27" i="2"/>
  <c r="L28" i="2"/>
  <c r="L29" i="2"/>
  <c r="L30" i="2"/>
  <c r="L31" i="2"/>
  <c r="H39" i="2" l="1"/>
  <c r="E42" i="2" s="1"/>
  <c r="H43" i="2" s="1"/>
  <c r="E46" i="2" s="1"/>
  <c r="E50" i="2" s="1"/>
  <c r="H38" i="2"/>
  <c r="E40" i="2" s="1"/>
  <c r="H41" i="2" s="1"/>
  <c r="E44" i="2" s="1"/>
  <c r="E48" i="2" s="1"/>
  <c r="Q31" i="2"/>
  <c r="P31" i="2"/>
  <c r="O31" i="2"/>
  <c r="Q30" i="2"/>
  <c r="P30" i="2"/>
  <c r="O30" i="2"/>
  <c r="Q29" i="2"/>
  <c r="P29" i="2"/>
  <c r="O29" i="2"/>
  <c r="Q28" i="2"/>
  <c r="P28" i="2"/>
  <c r="O28" i="2"/>
  <c r="Q27" i="2"/>
  <c r="P27" i="2"/>
  <c r="O27" i="2"/>
  <c r="Q26" i="2"/>
  <c r="P26" i="2"/>
  <c r="O26" i="2"/>
  <c r="Q25" i="2"/>
  <c r="P25" i="2"/>
  <c r="Q24" i="2"/>
  <c r="P24" i="2"/>
  <c r="Q23" i="2"/>
  <c r="P23" i="2"/>
  <c r="O23" i="2"/>
  <c r="Q22" i="2"/>
  <c r="P22" i="2"/>
  <c r="O22" i="2"/>
  <c r="Q21" i="2"/>
  <c r="P21" i="2"/>
  <c r="O21" i="2"/>
  <c r="Q20" i="2"/>
  <c r="O20" i="2"/>
  <c r="Q17" i="2"/>
  <c r="P17" i="2"/>
  <c r="O17" i="2"/>
  <c r="E41" i="2" l="1"/>
  <c r="H42" i="2" s="1"/>
  <c r="E45" i="2" s="1"/>
  <c r="E49" i="2" s="1"/>
  <c r="G47" i="2"/>
  <c r="O34" i="2"/>
  <c r="P34" i="2"/>
  <c r="Q34" i="2"/>
  <c r="N46" i="2" l="1"/>
  <c r="P46" i="2" s="1"/>
  <c r="AF19" i="2" s="1"/>
  <c r="N43" i="2"/>
  <c r="N53" i="2"/>
  <c r="Q56" i="2" s="1"/>
  <c r="O36" i="2"/>
  <c r="O37" i="2" s="1"/>
  <c r="N55" i="2"/>
  <c r="N54" i="2" s="1"/>
  <c r="P36" i="2"/>
  <c r="P37" i="2" s="1"/>
  <c r="Q36" i="2"/>
  <c r="Q37" i="2" s="1"/>
  <c r="P43" i="2" l="1"/>
  <c r="AF17" i="2" s="1"/>
  <c r="AF22" i="2" s="1"/>
  <c r="Q55" i="2"/>
  <c r="N58" i="2" s="1"/>
  <c r="Q59" i="2" s="1"/>
  <c r="N62" i="2" s="1"/>
  <c r="N66" i="2" s="1"/>
  <c r="Q54" i="2"/>
  <c r="N56" i="2" s="1"/>
  <c r="Q57" i="2" s="1"/>
  <c r="N60" i="2" s="1"/>
  <c r="N64" i="2" s="1"/>
  <c r="G66" i="3"/>
  <c r="N57" i="2" l="1"/>
  <c r="Q58" i="2" s="1"/>
  <c r="N61" i="2" s="1"/>
  <c r="N65" i="2" s="1"/>
  <c r="P63" i="2" s="1"/>
  <c r="G67" i="3"/>
  <c r="D69" i="3" s="1"/>
  <c r="G70" i="3" s="1"/>
  <c r="D73" i="3" s="1"/>
  <c r="D77" i="3" s="1"/>
  <c r="G68" i="3"/>
  <c r="D71" i="3" s="1"/>
  <c r="G72" i="3" s="1"/>
  <c r="D75" i="3" s="1"/>
  <c r="D79" i="3" s="1"/>
  <c r="P44" i="2" l="1"/>
  <c r="AF18" i="2" s="1"/>
  <c r="AF23" i="2" s="1"/>
  <c r="D70" i="3"/>
  <c r="G71" i="3" s="1"/>
  <c r="D74" i="3" s="1"/>
  <c r="D78" i="3" s="1"/>
  <c r="G76" i="3" s="1"/>
  <c r="F58" i="3" s="1"/>
  <c r="M55" i="3" l="1"/>
  <c r="M58" i="3" s="1"/>
  <c r="G39" i="4" l="1"/>
  <c r="D41" i="4" s="1"/>
  <c r="G42" i="4" s="1"/>
  <c r="D45" i="4" s="1"/>
  <c r="D51" i="4" s="1"/>
  <c r="G40" i="4"/>
  <c r="D43" i="4" s="1"/>
  <c r="G44" i="4" s="1"/>
  <c r="D47" i="4" s="1"/>
  <c r="D53" i="4" s="1"/>
  <c r="D42" i="4" l="1"/>
  <c r="G43" i="4" s="1"/>
  <c r="D46" i="4" s="1"/>
  <c r="D52" i="4" s="1"/>
  <c r="G47" i="4" s="1"/>
  <c r="AC18" i="4" s="1"/>
  <c r="AC22" i="4" s="1"/>
</calcChain>
</file>

<file path=xl/sharedStrings.xml><?xml version="1.0" encoding="utf-8"?>
<sst xmlns="http://schemas.openxmlformats.org/spreadsheetml/2006/main" count="2409" uniqueCount="1257">
  <si>
    <t>Existiert ein Umweltmanagementsystem im Betrieb</t>
  </si>
  <si>
    <t>Werden Stoffe wiederverwendet</t>
  </si>
  <si>
    <t>Entsprechen die Produktionsprozesse dem Stand der Technik</t>
  </si>
  <si>
    <t>Energie</t>
  </si>
  <si>
    <t>Werden nebst betriebswirtschaftlichen auch ökologische Kriterien in Entscheidungsprozessen angewendet</t>
  </si>
  <si>
    <t>Werden die Prozesse regelmässig bez. Ressourcenverbrauch optimiert</t>
  </si>
  <si>
    <t>Gibt es eine Input / Outputanalyse der Stoffströme</t>
  </si>
  <si>
    <t>Sind die relevanten Stoff und Energieströme bekannt</t>
  </si>
  <si>
    <t>Werden Verbrauchskennzahlen (Energie, Wasser etc.) bei den Prozessen erfasst und dokumentiert.</t>
  </si>
  <si>
    <t>Thema</t>
  </si>
  <si>
    <t>Ja</t>
  </si>
  <si>
    <t>Nein</t>
  </si>
  <si>
    <t>Abwasser</t>
  </si>
  <si>
    <t>Sind die verwendeten Chemikalien biologisch abbaubar</t>
  </si>
  <si>
    <t>Summe</t>
  </si>
  <si>
    <t>Sind die Produktionsanlagen weniger als 6 Jahre alt</t>
  </si>
  <si>
    <t>Kategorie</t>
  </si>
  <si>
    <t>Grün</t>
  </si>
  <si>
    <t>Orange</t>
  </si>
  <si>
    <t>Rot</t>
  </si>
  <si>
    <t>Gesamtbewertung Fragebogen</t>
  </si>
  <si>
    <t>Gesamtbewertung</t>
  </si>
  <si>
    <t>Gewichtung (0-1)</t>
  </si>
  <si>
    <t>Summen</t>
  </si>
  <si>
    <t>gewichtete Maximum Punkte</t>
  </si>
  <si>
    <t>Anzahl Ja</t>
  </si>
  <si>
    <t>Wert Thema</t>
  </si>
  <si>
    <t>Totale Anzahl Fragen</t>
  </si>
  <si>
    <t>Vollmilch</t>
  </si>
  <si>
    <t>Magermilch</t>
  </si>
  <si>
    <t>Rahm</t>
  </si>
  <si>
    <t>Kondensmilch</t>
  </si>
  <si>
    <t>Lab-Molke</t>
  </si>
  <si>
    <t>Sauermolke</t>
  </si>
  <si>
    <t>Magermilchpulver</t>
  </si>
  <si>
    <t>Lab-Molkenpulver</t>
  </si>
  <si>
    <t>BBS5 g/l</t>
  </si>
  <si>
    <t>CSB g/l</t>
  </si>
  <si>
    <t>Konsummilch, Milchfrischprodukte</t>
  </si>
  <si>
    <t>Frischkäse</t>
  </si>
  <si>
    <t>Weichkäse</t>
  </si>
  <si>
    <t>Schnittkäse</t>
  </si>
  <si>
    <t>Hartkäse</t>
  </si>
  <si>
    <t>Milchpulver Sprühverfahren</t>
  </si>
  <si>
    <t>Milchpulver Walzenverfahren</t>
  </si>
  <si>
    <t>Molkenpulver</t>
  </si>
  <si>
    <t>kg CSB</t>
  </si>
  <si>
    <t>kg BSB5</t>
  </si>
  <si>
    <t>TS g/l</t>
  </si>
  <si>
    <t>Buttermilch</t>
  </si>
  <si>
    <t>Milchzucker</t>
  </si>
  <si>
    <t>Säurekasein</t>
  </si>
  <si>
    <t>Labkasein</t>
  </si>
  <si>
    <t>*</t>
  </si>
  <si>
    <t>Konsummilch, Milchfrischprodukte:</t>
  </si>
  <si>
    <t>Produkt</t>
  </si>
  <si>
    <t>Abweichung: Faktor</t>
  </si>
  <si>
    <t>Potential</t>
  </si>
  <si>
    <t>Bedarf</t>
  </si>
  <si>
    <t>Bewertung:</t>
  </si>
  <si>
    <t>Wird das Kühlwasser im Kreislauf gefahren</t>
  </si>
  <si>
    <t>Werden alle Pumpen, Fittings, Ventile, Hähnen. Rührwerke und Verschlüsse regelmässig auf Leckagen geprüft</t>
  </si>
  <si>
    <t>Werden die Tankwagen vollständig entleert und und genügend lange Austropfen gelassen</t>
  </si>
  <si>
    <t>Reinigung</t>
  </si>
  <si>
    <t>Werden entleerte Kannen genügend lange Abtropfen gelassen</t>
  </si>
  <si>
    <t>Wird kontrolliert, ob die Milchkannen nicht überfüllt sind (Vermeiden des Verschüttens beim Transport)</t>
  </si>
  <si>
    <t>Verluste</t>
  </si>
  <si>
    <t>Werden die Verluste bis zur Reparatur der Leckage separat aufgefangen</t>
  </si>
  <si>
    <t>Wird die Füllhöhe der Tanks automatisch überwacht und bei Überfüllung Alarm ausgelöst</t>
  </si>
  <si>
    <t>Wird zur Vorspülung so wenig Wasser verwendet wie möglich</t>
  </si>
  <si>
    <t>Wird für die Zwischenspülung so wenig Wasser verwendet wie möglich</t>
  </si>
  <si>
    <t>Wird das Nachspülwasser zur Wiederverwendung als Vorspülwasser aufgefangen</t>
  </si>
  <si>
    <t>Werden die Reinigungsmittel aus der CIP-Anlage zwischengestapelt und dosiert abgelassen (Vermeidung von Spitzenbelastungen)</t>
  </si>
  <si>
    <t>Werden die Leitungen vor der Vorreinigung ausgestossen (Molchen, Pressluft)</t>
  </si>
  <si>
    <t>Sind mehrere dezentrale Reinigungsanlagen vorhanden</t>
  </si>
  <si>
    <t>Wassersparmassnahmen</t>
  </si>
  <si>
    <t>Beruhen Kälteaggregate auf Kühlturmkühlung oder Verdunstungskühlung (keine wassergekühlte Kälteaggregate)</t>
  </si>
  <si>
    <t>Wird eine Direktkühlung mit Wasser vermieden (Kondensator Trockentürme, Butterei etc.)</t>
  </si>
  <si>
    <t>Sind in jeder Abteilung eigene Wasseruhren vorhanden (Feststellen von Grossverbrauchern)</t>
  </si>
  <si>
    <t>Werden wassersparende Hochdruckreiniger eingesetzt</t>
  </si>
  <si>
    <t>Wird das Personal bez. Wassersparmassnahmen geschult / sensibilisiert</t>
  </si>
  <si>
    <t>Wird das erste Spülwasser aus der Reinigung des Eindampfers in den Turm resp. zum Produkt das eingedampft wird, zurückgeführt</t>
  </si>
  <si>
    <t>Wird regelmässig kontrolliert, ob die Rohre und Rohrverbindungen auf der Saugseite von Pumpen dicht sind (Vermeiden von Schaumbildung)</t>
  </si>
  <si>
    <t>Sind die Füllvorrichtungen an Tanks und Behältern unten angebracht (Schaumbildung)</t>
  </si>
  <si>
    <t>Wird das Überkochen von Verdampfern vermieden</t>
  </si>
  <si>
    <t>Wird das Konzentrat rückgeführt, bis der erforderliche Konzentrationsgrad erreicht ist.</t>
  </si>
  <si>
    <t>Wird der Turm so weit möglich mit Luft vorgereinigt</t>
  </si>
  <si>
    <t>Wird das erste Spülwasser aus dem Turm aufgefangen und verdampft</t>
  </si>
  <si>
    <t>Butter</t>
  </si>
  <si>
    <t>Ist ein Umweltkennzahlensystem vorhanden (ISO 14031) und wird die Ökoeffizienz laufend bewertet und verbessert</t>
  </si>
  <si>
    <t>Vollmilchpulver</t>
  </si>
  <si>
    <t>Titel</t>
  </si>
  <si>
    <t>Link</t>
  </si>
  <si>
    <t>http://www.lfu.bayern.de/energie/co2_minderung/doc/endbericht_molkerei.pdf</t>
  </si>
  <si>
    <t>Milchverarbeitung, Energie</t>
  </si>
  <si>
    <t>Bayerische Landesamt für Umweltschutz</t>
  </si>
  <si>
    <t>Forschungsstelle für Energiewirtschaft der Gesellschaft für praktische Energiekunde E.V. München</t>
  </si>
  <si>
    <t>Ermittlung von Energiekennzahlen für Anlagen, Herstellungsverfahren und Erzeugnisse</t>
  </si>
  <si>
    <t>http://www.ffe.de/download/langberichte/Kennzahlen.pdf</t>
  </si>
  <si>
    <t>Milchverarbeitung, Abwasserkennzahlen</t>
  </si>
  <si>
    <t>Lehr- und Handbuch der Abwassertechnik, Band V organisch verschmutzte Abwässer aus der Lebensmittelindustrie</t>
  </si>
  <si>
    <t>Anstalt/Verlag</t>
  </si>
  <si>
    <t>Verlag für Architektur und technische Wissenschaften Berlin</t>
  </si>
  <si>
    <t>Milchbedarf zur Produktion von</t>
  </si>
  <si>
    <t>kg Milch/kg Produkt</t>
  </si>
  <si>
    <t>Quark</t>
  </si>
  <si>
    <t>Joghurt</t>
  </si>
  <si>
    <t>Werden Fehlchargen weiterverwendet (nicht ins Abwasser entsorgt)</t>
  </si>
  <si>
    <t>Auswertung</t>
  </si>
  <si>
    <t>Bewertung Thema, Kreis innerhalb</t>
  </si>
  <si>
    <t>Orange  -&gt; Potential</t>
  </si>
  <si>
    <t>Rot        -&gt; Bedarf</t>
  </si>
  <si>
    <t>DWA Regelwerk</t>
  </si>
  <si>
    <t>Merkblatt DWA-M 708, Oktober 2011</t>
  </si>
  <si>
    <t>Fett g/l</t>
  </si>
  <si>
    <t>Milchzucker g/l</t>
  </si>
  <si>
    <t>Eiweiss g/l</t>
  </si>
  <si>
    <t>Werden die Brüdenkondensate wiederverwendet (z.B. Kesselspeisewasser, Reinigung)</t>
  </si>
  <si>
    <t>Abfall/Nebenprodukte</t>
  </si>
  <si>
    <t>Wird die Molke weiterverwendet resp. zur Weiterverwendung abgegeben (Tierfütterung, Biogasanlagen etc.) Einleitung verboten!</t>
  </si>
  <si>
    <t>Wird das Vorspülwasser zur Wiederverwendung gesammelt (Spülmilch, z.B. Verwertung als Futtermittel)</t>
  </si>
  <si>
    <t>Werden Produktionsreste gesammelt und weiterverwendet (nicht ins Abwasser entsorgt)</t>
  </si>
  <si>
    <t>Werden Mischphasen weiterverwendet (nicht ins Abwasser entsorgt)</t>
  </si>
  <si>
    <t>Grobübersicht Abwasseranfall</t>
  </si>
  <si>
    <t>Bewertung</t>
  </si>
  <si>
    <t>Abweichung Faktor</t>
  </si>
  <si>
    <t>BSB5-Fracht kg/1000 kg Milch</t>
  </si>
  <si>
    <t>Abwasseranfall m3/1000 kg Milch</t>
  </si>
  <si>
    <t>CSB-Fracht kg/1000kgMilch</t>
  </si>
  <si>
    <t>min</t>
  </si>
  <si>
    <t>max</t>
  </si>
  <si>
    <t>Mittel</t>
  </si>
  <si>
    <t>Verarbeitete Milchmenge eintragen</t>
  </si>
  <si>
    <t>http://www.lanuv.nrw.de/wasser/abwasser/forschung/pdf/AnalyseAbschlussbericht.pdf</t>
  </si>
  <si>
    <t>Kennzahlen verschiedene Branchen</t>
  </si>
  <si>
    <t>Analyse der Energieeinspar- und Energieoptimierungspotenziale in der industriellen Abwasserreinigung</t>
  </si>
  <si>
    <t>Forschungsinstitut für Wasser- und Abfallwirtschaft an der RWTH Aachen</t>
  </si>
  <si>
    <t>Polynom in Abhängigkeit der jährlich verarbeiteten Milchmenge in Mio kg/a</t>
  </si>
  <si>
    <t>x2</t>
  </si>
  <si>
    <t>x</t>
  </si>
  <si>
    <t>C</t>
  </si>
  <si>
    <t>Berechneter Faktor</t>
  </si>
  <si>
    <t>Milchmenge in Mio kg/a</t>
  </si>
  <si>
    <t>Energieverbrauch</t>
  </si>
  <si>
    <t>Durchschnittliche Abwasserbelastung bei Milchverarbeitungsbetrieben (DWA)</t>
  </si>
  <si>
    <t>gut</t>
  </si>
  <si>
    <t>Verluste Konzentrierung / Trocknung</t>
  </si>
  <si>
    <t>Grün      -&gt; gut</t>
  </si>
  <si>
    <t>Minderung öko- und klimaschädigender Abgase aus industriellen Anlagen durch rationelle Energienutzung milchverarbeitender Betriebe</t>
  </si>
  <si>
    <t>Rationelle Stromanwendung in milchverarbeitenden Betrieben</t>
  </si>
  <si>
    <t>Fraunhofer Institut</t>
  </si>
  <si>
    <t>http://www.isi.fraunhofer.de/isi-media/docs/x/de/publikationen/fachartikel/17-Milch.pdf?WSESSIONID=73a16be47175b2e24aabecc4b8fa1ec4</t>
  </si>
  <si>
    <t>http://www.kmu-scheck.at/fileadmin/media_data/Dateien/08053_KMU-Branchenkennwerte-Endbericht_2Q_klimafonds.pdf</t>
  </si>
  <si>
    <t>KMU Initiative zur Energieeffizienzsteigerung, Begleitstudie: Kennwerte zur Energieeffizienz in KMU</t>
  </si>
  <si>
    <t>KMU, Energieeffizienz</t>
  </si>
  <si>
    <t>Energieinstitut der Wirtschaft GmbH, Wien</t>
  </si>
  <si>
    <t>http://www.energymanagement.at/Benchmarking.51.0.html</t>
  </si>
  <si>
    <t>BESS, Benchmarkingsystem für KMU, Energieeffizienz</t>
  </si>
  <si>
    <t>Benchmarking des spezifischen Energieverbrauchs</t>
  </si>
  <si>
    <t>Österreichische Energiegentur</t>
  </si>
  <si>
    <t>Wird die Eintrittsluft zum Sprühturm mit der Abluft über einen Wärmetauscher vorerhitzt</t>
  </si>
  <si>
    <t>Wird die Abluft als Verbrennungsluft für den Dampfkessel verwendet</t>
  </si>
  <si>
    <t>Wird die Wärme bei Milcherhitzungsprozessen zurückgewonnen</t>
  </si>
  <si>
    <t>Sind die Eindampfer mit Brüdenverdichtern versehen</t>
  </si>
  <si>
    <t>Werden Blindstomkompensatoren eingesetzt</t>
  </si>
  <si>
    <t>Trinkmilch</t>
  </si>
  <si>
    <t>elektrisch kWh</t>
  </si>
  <si>
    <t>Wärme MJ</t>
  </si>
  <si>
    <t>Energiekennzahlen, jeweils pro 1000kg verarbeitete Rohmilch</t>
  </si>
  <si>
    <t>UHT-Milch</t>
  </si>
  <si>
    <r>
      <t>Gesamtverbrauch</t>
    </r>
    <r>
      <rPr>
        <sz val="8"/>
        <color theme="1"/>
        <rFont val="Arial"/>
        <family val="2"/>
      </rPr>
      <t xml:space="preserve"> (alle Prozesse inkl. Kühlung, Verpackung etc.)</t>
    </r>
  </si>
  <si>
    <t>Verbrauch für  Konzentration und Eindampfung</t>
  </si>
  <si>
    <t>verarbeitete Milchmenge</t>
  </si>
  <si>
    <t>Frischwasserbezug</t>
  </si>
  <si>
    <t>Spülen und Reinigen</t>
  </si>
  <si>
    <t>Kältemaschinen</t>
  </si>
  <si>
    <t>Dampf</t>
  </si>
  <si>
    <t>Betriebsmittel</t>
  </si>
  <si>
    <t>Sonstiges</t>
  </si>
  <si>
    <t>Frischwasserverbrauch, Anteile %</t>
  </si>
  <si>
    <t>Typische Anteile des Frischwasserverbrauchs liegen etwa bei:</t>
  </si>
  <si>
    <t>Diverses</t>
  </si>
  <si>
    <t>Wird der Frischwasserbezug mit Wasseruhren gemessen</t>
  </si>
  <si>
    <t>Werden ausschliesslich Kälteaggregate ohne Wasserkühlung verwendet</t>
  </si>
  <si>
    <t>Sind die Wasserhahnen nur geöffnet, wenn tatsächlich Wasser benötigt wird</t>
  </si>
  <si>
    <t>Spülen/Reinigen</t>
  </si>
  <si>
    <t>Beträgt die Nennweite der Anschlüsse für Wasserschläuche höchstens 3/4 Zoll</t>
  </si>
  <si>
    <t>Allgemein</t>
  </si>
  <si>
    <t>Ist Ihnen der Leitfaden "Energieeffizienz in Käsereien" des Branchenverbandes Fromarte bekannt</t>
  </si>
  <si>
    <t>Haben Sie schon eine Energiebilanz für Ihren Betrieb erstellt</t>
  </si>
  <si>
    <t>Ist eine CIP-Anlage vorhanden</t>
  </si>
  <si>
    <t>Werden Wasserspardüsen eingesetzt</t>
  </si>
  <si>
    <t>Abwasserbelastung/Verluste</t>
  </si>
  <si>
    <t>Milchverarbeitung</t>
  </si>
  <si>
    <t>Käsereien</t>
  </si>
  <si>
    <t>Tierart</t>
  </si>
  <si>
    <t>mittl. Schlachtgewicht</t>
  </si>
  <si>
    <t>Blut</t>
  </si>
  <si>
    <t>Mageninh.</t>
  </si>
  <si>
    <t>Darminh.</t>
  </si>
  <si>
    <t>davon Anteil ins Abwasser</t>
  </si>
  <si>
    <t xml:space="preserve">Anfall je Tier </t>
  </si>
  <si>
    <t>kg</t>
  </si>
  <si>
    <t>Rind</t>
  </si>
  <si>
    <t>Schwein</t>
  </si>
  <si>
    <t>Kalb</t>
  </si>
  <si>
    <t>Schaf</t>
  </si>
  <si>
    <t>Geflügel</t>
  </si>
  <si>
    <t xml:space="preserve">BSB5 </t>
  </si>
  <si>
    <t xml:space="preserve">CSB </t>
  </si>
  <si>
    <t xml:space="preserve">Abwasser </t>
  </si>
  <si>
    <t>m3/Tier</t>
  </si>
  <si>
    <t>kg/Tier</t>
  </si>
  <si>
    <t>http://www.wvo.at/de/service/indirekteinleiterverordnung</t>
  </si>
  <si>
    <t>Anforderungen, tipps , Massnahme</t>
  </si>
  <si>
    <t>http://www.win.steiermark.at/cms/dokumente/11263981_52485923/19a52622/Energiekennzahlen%20und%20Sparpotenziale%20f%C3%BCr%20Fleischbetriebe.pdf</t>
  </si>
  <si>
    <t>Energiekennzahlen und Sparpotentiale für Fleischbetriebe</t>
  </si>
  <si>
    <t>Wirtschaftskammer OÖ, Ökologische Betriebsberatung O.Ö. Energiesparverband</t>
  </si>
  <si>
    <t>http://www.bvt.umweltbundesamt.de/archiv/bvt_tierschlachtanlagen_vv.pdf</t>
  </si>
  <si>
    <t>BVT merkblatt zu Tieschlachtanlagen</t>
  </si>
  <si>
    <t>Schlachtbetriebe</t>
  </si>
  <si>
    <t>Umweltbundesamt Berlin</t>
  </si>
  <si>
    <t>http://www.energie.ch/metzgerei</t>
  </si>
  <si>
    <t>Energieeffizienz Metzgerei</t>
  </si>
  <si>
    <t>energie.ch</t>
  </si>
  <si>
    <t>CSB</t>
  </si>
  <si>
    <t>BSB5 g/l</t>
  </si>
  <si>
    <t>m3</t>
  </si>
  <si>
    <t>Camionreinigung</t>
  </si>
  <si>
    <t>%</t>
  </si>
  <si>
    <t>Wartebucht</t>
  </si>
  <si>
    <t>Brüherei</t>
  </si>
  <si>
    <t>Zerlegerei</t>
  </si>
  <si>
    <t>10-15</t>
  </si>
  <si>
    <t>Rinderbehandlung?</t>
  </si>
  <si>
    <t>Reinigung Schlachtbereich</t>
  </si>
  <si>
    <t>5-10</t>
  </si>
  <si>
    <t>Sterilisation</t>
  </si>
  <si>
    <t>Külsystem</t>
  </si>
  <si>
    <t>Dampferzeugung</t>
  </si>
  <si>
    <t>Reinigung Karkassen</t>
  </si>
  <si>
    <t>'15-20</t>
  </si>
  <si>
    <t>Reinigung allgemein</t>
  </si>
  <si>
    <t>Kühlung</t>
  </si>
  <si>
    <t>Geräte</t>
  </si>
  <si>
    <t>Pumpen</t>
  </si>
  <si>
    <t>Pressluft</t>
  </si>
  <si>
    <t>Beleuchtung</t>
  </si>
  <si>
    <t>Lüftung</t>
  </si>
  <si>
    <t>Anderes</t>
  </si>
  <si>
    <t>Blut frisch</t>
  </si>
  <si>
    <t>kWh</t>
  </si>
  <si>
    <t>Anteile am Wasserverbrauch</t>
  </si>
  <si>
    <t>Grobübersicht Schlachtung</t>
  </si>
  <si>
    <t>Summe Schlachtung</t>
  </si>
  <si>
    <t>Grobübersicht Zerlegung</t>
  </si>
  <si>
    <t>mit Faktor aus Schlachtung</t>
  </si>
  <si>
    <t>Summe Zerlegung</t>
  </si>
  <si>
    <t>Grobübersicht Verarbeitung zu Fleischwaren</t>
  </si>
  <si>
    <t>Summe Verarbeitung</t>
  </si>
  <si>
    <t>Total</t>
  </si>
  <si>
    <t xml:space="preserve">erwarteter Energieverbrauch </t>
  </si>
  <si>
    <t>Energiekennzahlen pro verarbeitete Rohmilch</t>
  </si>
  <si>
    <t>Milchannahme kg</t>
  </si>
  <si>
    <t>Sind in jeder wichtigen Verbrauchsstelle eigene Wasseruhren vorhanden (Feststellen von Grossverbrauchern)</t>
  </si>
  <si>
    <t>Werden Flachstrahldüsen statt Duschköpfen eingesetzt  (deutlich geringerer Wasserverbrauch)</t>
  </si>
  <si>
    <t>Sind die Wassserhahnen nur geöffnet, wenn tatsächlich Wasser benötigt wird</t>
  </si>
  <si>
    <t>Sind die Wasserarmaturen bedienungsfreundlich (z.B. Hebelhahnen, keine Drehhahnen)</t>
  </si>
  <si>
    <t>Abwasserwerte eintragen (soweit bekannt)</t>
  </si>
  <si>
    <t>effektivern  Anfall eintragen (soweit bekannt)</t>
  </si>
  <si>
    <t>* Frischwasserverbrauch:</t>
  </si>
  <si>
    <r>
      <t>BSB</t>
    </r>
    <r>
      <rPr>
        <b/>
        <vertAlign val="subscript"/>
        <sz val="11"/>
        <color theme="1"/>
        <rFont val="Arial"/>
        <family val="2"/>
      </rPr>
      <t>5</t>
    </r>
  </si>
  <si>
    <t>Werden die Lieferfahrzeuge vor dem Waschen trocken vorgereinigt</t>
  </si>
  <si>
    <t>Erfolgt die Reinigung der Böden während der Arbeitsphase trocken (Abzieher, Vacuumsauger)</t>
  </si>
  <si>
    <t>Werden Bereiche mit Blut oder Fleischsaft mit kaltem Wasser vorgereinigt</t>
  </si>
  <si>
    <t>Werden zur Desinfektion Wasserstoffperoxid oder Peressigsäure eingesetzt (umweltfreundlicher als chlorhaltige Reiniger)</t>
  </si>
  <si>
    <t>Werden Reiniger eingesetzt, die bei tieferen Temperaturen verwendet werden können</t>
  </si>
  <si>
    <t>Abwasserbelastung</t>
  </si>
  <si>
    <t>Wird das Stichblut aufgefangen und entsorgt (vorgeschrieben, Blut erzeugt eine sehr hohe Abwasserbelastung)</t>
  </si>
  <si>
    <t>Sind die Bodenabläufe mit Siebeinsätzen mit max. 10 mm Maschenweite versehen (vorgeschrieben)</t>
  </si>
  <si>
    <t>Werden Magen und Darminhalte aufgefangen und entsorgt (vorgeschrieben)</t>
  </si>
  <si>
    <t>Wird das Abwasser über einen Fettabscheider geführt (vorgeschrieben)</t>
  </si>
  <si>
    <t>Sind thermostatisch geregelte Dampf/Wasser- Ventile zur automatischen Regelung der Wassertemperatur vorhanden</t>
  </si>
  <si>
    <t>Werden die Türen zu den Kühlräumen automatisch geschlossen</t>
  </si>
  <si>
    <t>Wird die Kühlung ausserhalb der Schlachtzeiten wo möglich ausgeschaltet</t>
  </si>
  <si>
    <t>Sind Wände und Boden in den Kühlräumen eisfrei (Eisbildung deutet auf das Eindringen grosser Luftmengen hin)</t>
  </si>
  <si>
    <t>Wird Binäreis als Kühlflüssigkeit verwendet (geringerer Stromverbrauch, kleinere Kühleinheiten)</t>
  </si>
  <si>
    <t xml:space="preserve">Werden Wärmequellen wie Motoren, Ladegeräte, Pumpen, Ventilatoren etc. nur ausserhalb der Kühlräume platziert </t>
  </si>
  <si>
    <t>Fleischverarbeitung</t>
  </si>
  <si>
    <t>Grenzen für Bereich Grafiken ab Wert</t>
  </si>
  <si>
    <t>bis Wert</t>
  </si>
  <si>
    <t>wird für alle Fragebogenautom. übernommen!</t>
  </si>
  <si>
    <t>Literatur "Beste verfügbare Technik":</t>
  </si>
  <si>
    <t>Leitfaden Energieeffizienz:</t>
  </si>
  <si>
    <t>Metzgereien</t>
  </si>
  <si>
    <t>http://www.bestellen.bayern.de/application/stmug_app000000?SID=1905334634&amp;ARTSUCHExMATCHCODE=Energie+sparen+in+Metzgereien&amp;ARTSUCHExMATCHCODE=&amp;ACTIONxSETVAL%28suchergebnisse.htm%2CUSERxTITLE%3ASuchergebnisse%29=x</t>
  </si>
  <si>
    <t>http://www.energieagentur.nrw.de/unternehmen/kurzenergiecheck-9966.asp</t>
  </si>
  <si>
    <t>© 2012 EnergieAgentur.NRW</t>
  </si>
  <si>
    <t>Energieverbrauch, Benchmarking, Energiecheck für rund 70 Betriebstypen</t>
  </si>
  <si>
    <t>Kurzenergiecheck</t>
  </si>
  <si>
    <t>Min</t>
  </si>
  <si>
    <t>elektrisch</t>
  </si>
  <si>
    <t>Strom</t>
  </si>
  <si>
    <t>Wolf</t>
  </si>
  <si>
    <t>Wärme</t>
  </si>
  <si>
    <t>Einheit</t>
  </si>
  <si>
    <t xml:space="preserve">Energieffizienz in Metzgereien: </t>
  </si>
  <si>
    <t>Energiekennzahlen Milchverarbeitung</t>
  </si>
  <si>
    <t>Kennzahlen div. Branchen</t>
  </si>
  <si>
    <t xml:space="preserve">Kurzenergiecheck der Energieagentur Nordrhein-Westfalen </t>
  </si>
  <si>
    <t>Erfolgt die Erstreinigung nach der Betriebszeit trocken</t>
  </si>
  <si>
    <t>Wird die Abwärme aus den Kälteanlagen genutzt (z.B. Vorheizen des Warmwassers etc. Wärmerückgewinnungspotential :80%)</t>
  </si>
  <si>
    <t>Werden Desinfektions- und Reinigungsmittel so sparsam wie möglich verwendet *</t>
  </si>
  <si>
    <t>mittl. Lebendgewicht</t>
  </si>
  <si>
    <t>pro 100 kg Schlachtgewicht</t>
  </si>
  <si>
    <t>Name</t>
  </si>
  <si>
    <t>Faktor</t>
  </si>
  <si>
    <t>Faktor für Bewertung spz. Kennzahlen</t>
  </si>
  <si>
    <t>grösser</t>
  </si>
  <si>
    <t>erwarteter Anfall</t>
  </si>
  <si>
    <t>Berechneter Wert</t>
  </si>
  <si>
    <t>Getränk</t>
  </si>
  <si>
    <t>Abwassermenge</t>
  </si>
  <si>
    <t>BSB5</t>
  </si>
  <si>
    <t>m3/1000 l</t>
  </si>
  <si>
    <t>kg/1000 l</t>
  </si>
  <si>
    <t>Wein</t>
  </si>
  <si>
    <t>Fruchtsaft</t>
  </si>
  <si>
    <t>m3/m3</t>
  </si>
  <si>
    <t>kg/m3</t>
  </si>
  <si>
    <t>Produktionsverlust</t>
  </si>
  <si>
    <t>l/m3</t>
  </si>
  <si>
    <t>Produktion von 1000 l Most-&gt;1.3 To Früchte</t>
  </si>
  <si>
    <t>Konzentratherstellung</t>
  </si>
  <si>
    <t>Verdünnen und Abfüllen aus Konzentrat</t>
  </si>
  <si>
    <t>Abfüllen</t>
  </si>
  <si>
    <t>Gebindereinigung, wenn Mehrweggebinde verwendet</t>
  </si>
  <si>
    <t>Rohsaft</t>
  </si>
  <si>
    <t>Wenn Trub und Kieselgur aus Schönung eingeleitet wird, zusätzlich</t>
  </si>
  <si>
    <r>
      <t>BSB</t>
    </r>
    <r>
      <rPr>
        <vertAlign val="subscript"/>
        <sz val="11"/>
        <color theme="1"/>
        <rFont val="Arial"/>
        <family val="2"/>
      </rPr>
      <t>5</t>
    </r>
  </si>
  <si>
    <r>
      <t>verarbeitete Rohsaftmenge (1 m</t>
    </r>
    <r>
      <rPr>
        <vertAlign val="superscript"/>
        <sz val="11"/>
        <color theme="1"/>
        <rFont val="Arial"/>
        <family val="2"/>
      </rPr>
      <t>3</t>
    </r>
    <r>
      <rPr>
        <sz val="11"/>
        <color theme="1"/>
        <rFont val="Arial"/>
        <family val="2"/>
      </rPr>
      <t xml:space="preserve"> Rohsaft=1.3 To Früchte)</t>
    </r>
  </si>
  <si>
    <t>Mostherstellung (Waschen, Pressen, Schönen *)</t>
  </si>
  <si>
    <t>Süssgetränke/Mineralwasser</t>
  </si>
  <si>
    <t>Produktion</t>
  </si>
  <si>
    <t>m3/hl</t>
  </si>
  <si>
    <t>kg/hl</t>
  </si>
  <si>
    <t>Produktion von Bier je hl</t>
  </si>
  <si>
    <t>Sudhaus</t>
  </si>
  <si>
    <t>Diverse Getränke</t>
  </si>
  <si>
    <t>Summe diverse Getränke</t>
  </si>
  <si>
    <t>Summe Most/Fruchtsaftherstellung</t>
  </si>
  <si>
    <t>Effektiven Anfall eintragen (soweit bekannt)</t>
  </si>
  <si>
    <t>Brauchwassererwärmung</t>
  </si>
  <si>
    <t>Betriebswassererwärmung</t>
  </si>
  <si>
    <t>Abfüllung</t>
  </si>
  <si>
    <t>Verfahrensschritt</t>
  </si>
  <si>
    <t>Stromverbrauch</t>
  </si>
  <si>
    <t>Wärmeverbrauch ohne Malzherstellung</t>
  </si>
  <si>
    <t>Kesselhaus</t>
  </si>
  <si>
    <t>Diverse</t>
  </si>
  <si>
    <t>kWh/hl</t>
  </si>
  <si>
    <t>Kälteanlage</t>
  </si>
  <si>
    <t>von</t>
  </si>
  <si>
    <t>bis</t>
  </si>
  <si>
    <t>sehr gut</t>
  </si>
  <si>
    <t>techn. Möglich</t>
  </si>
  <si>
    <t>Abfüllung (Flaschen)</t>
  </si>
  <si>
    <t>Abfüllung Fass</t>
  </si>
  <si>
    <t>http://www.win.steiermark.at/cms/dokumente/11263981_52485923/5311a767/Energiekennzahlen%20und%20Sparpotenziale%20in%20Brauereien.pdf</t>
  </si>
  <si>
    <t>Energiekennzahlen und -Sparpotentiale in Brauereien</t>
  </si>
  <si>
    <t>Energie, Brauereien</t>
  </si>
  <si>
    <t>Energie, Fleischbetriebe</t>
  </si>
  <si>
    <t>Brauerei</t>
  </si>
  <si>
    <t>Getränke</t>
  </si>
  <si>
    <t>0.8 kWh/l</t>
  </si>
  <si>
    <t>Total erwartet</t>
  </si>
  <si>
    <t>grobe Abschätzung Energiebedarf</t>
  </si>
  <si>
    <t>Grobenergiebedarf für alle Getränke etwa in gleicher Grössenordnung</t>
  </si>
  <si>
    <t>kWh/l</t>
  </si>
  <si>
    <t>erwarteter Gesamtenergiebedarf</t>
  </si>
  <si>
    <t>Wird das Vorspülwasser zur Wiederverwendung gesammelt</t>
  </si>
  <si>
    <t>Werden Trub und Filtermaterialien (Kieselgur) gesammelt und entsorgt (nicht ins Abwasser gelassen)</t>
  </si>
  <si>
    <t>http://www.bvt.umweltbundesamt.de/sevilla/kurzue.htm</t>
  </si>
  <si>
    <t>Beste verfügbare Techniken in diversen Branchen</t>
  </si>
  <si>
    <t>http://www.bvt.umweltbundesamt.de/archiv/bvt_nahrungsmittelindustrie_vv.pdf</t>
  </si>
  <si>
    <t>Umweltbundesamt Deutschland</t>
  </si>
  <si>
    <t>Hauptseite BVT Merkblätter</t>
  </si>
  <si>
    <t>Merkblatt Beste verfügbare Technik in der Nahrungsmittel-, Getränke-, und Milchindustrie</t>
  </si>
  <si>
    <t>Werden Produktionsreste gesammelt und weiterverwendet (z.B. in Tierfütterung, Biogasanlage,-&gt;nicht ins Abwasser entsorgt)</t>
  </si>
  <si>
    <t>Erfolgt die Erstreinigung der Anlagen und Gerärte trocken</t>
  </si>
  <si>
    <t>* nicht zulässig, Abfälle dürfen nicht eingeleitet werden</t>
  </si>
  <si>
    <t>Mittlerer Anfall/hl</t>
  </si>
  <si>
    <t>Anfallstelle</t>
  </si>
  <si>
    <t>Würzekühlung</t>
  </si>
  <si>
    <t>Gärkeller</t>
  </si>
  <si>
    <t>Lagerkeller</t>
  </si>
  <si>
    <t>Filter- und Drucktankraum</t>
  </si>
  <si>
    <t>Kompressoren</t>
  </si>
  <si>
    <t>sonstige Reinigung</t>
  </si>
  <si>
    <t>Bierproduktion</t>
  </si>
  <si>
    <t>produzierte Biermenge in hl eintragen</t>
  </si>
  <si>
    <t>ungefähre Abwasseranteile</t>
  </si>
  <si>
    <t>Wärmeverbrauch in kWh</t>
  </si>
  <si>
    <t>Schroterei, Würzekühlung</t>
  </si>
  <si>
    <t>Wärmeenergie</t>
  </si>
  <si>
    <t>elektr. Energie</t>
  </si>
  <si>
    <t>MJ/hl</t>
  </si>
  <si>
    <t xml:space="preserve"> oder entspricht</t>
  </si>
  <si>
    <t>*Energieinhalt Heizöl ca.: 10 kWh/kg, Erdgas 10 kWh/kg, Holz 5 kWh/kg; 1MJ=0.27778 kWh</t>
  </si>
  <si>
    <t>Wird das Nachspülwasser zum Vorspülen wiederverwendet</t>
  </si>
  <si>
    <t>Wird das Vorspülwasser zur Wiederverwendung gesammelt (z.B. Verwertung als Futtermitte, Biogasanlage)</t>
  </si>
  <si>
    <t>Wird das Vorspülwasser zur Wiederverwendung gesammelt (Spülmilch, z.B. Verwertung als Futtermitte, Biogasanlage)</t>
  </si>
  <si>
    <t>Wird die Wärme aus der Würzekochung zurückgewonnen</t>
  </si>
  <si>
    <t>Wird das uberlaufende Wasser aus der Flaschenpasteurisation wiederverwendet</t>
  </si>
  <si>
    <t>Wird der Ressourcenverbrauch überwacht</t>
  </si>
  <si>
    <t>Transport</t>
  </si>
  <si>
    <t>Wird das Heisswasser aus der Würzekühlung wiederverwendet</t>
  </si>
  <si>
    <t>Energieverbrauch /Optimierung Ressourcenverbrauch</t>
  </si>
  <si>
    <t>Werden die Wasserströme getrennt gesammelt, so dass eine Wiederverwertung möglich ist</t>
  </si>
  <si>
    <t>Wird der Treber soweit wie möglich abgetrennt und verwertet (Tierfütterung, Biogasanlage etc.)</t>
  </si>
  <si>
    <t>Dampfkessel, Kesselhaus</t>
  </si>
  <si>
    <t>http://www.energie.ch/kategorie/gewerbe-und-industrie/</t>
  </si>
  <si>
    <t>Energie Schweiz</t>
  </si>
  <si>
    <t xml:space="preserve">Energie </t>
  </si>
  <si>
    <t>Gewerbe und Industrie</t>
  </si>
  <si>
    <t>Merkblatt Beste verfügbare Technik in der Nahrungsmittel-, Getränke-, und Milchindustrie, Abwasser, Abwasserbehandlung, Energie</t>
  </si>
  <si>
    <t>keine Angaben</t>
  </si>
  <si>
    <t>Anleitung</t>
  </si>
  <si>
    <t>Ziel:</t>
  </si>
  <si>
    <t>Aufbau:</t>
  </si>
  <si>
    <t>Dieses Tool soll Ihnen die Möglichkeit bieten, mit wenig Aufwand einen Überblick über den Abwasseranfall und Energieverbrauch</t>
  </si>
  <si>
    <t>Aufgrund von spezifischen Kennzahlen des jeweiligen Produtionszweiges wird Ihnen angezeigt, was die zu erwartenden</t>
  </si>
  <si>
    <t>Direkt oberhalb der Fragebogen sehen Sie dann die Auswertung in einer Grafik dargestellt.</t>
  </si>
  <si>
    <t>Wenn der schwarze Ring innerhalb des grünen Bereichs liegt, haben Sie schon die üblichen Massnahmen zur</t>
  </si>
  <si>
    <t>Ressourcenersparnis durchgeführt. Das heisst aber nicht, dass das Optimierungspotential schon ausgeschöpft ist.</t>
  </si>
  <si>
    <t xml:space="preserve">Der rote Bereich zeigt Ihnen, wo ein dringender Handlungsbedarf besteht. </t>
  </si>
  <si>
    <t>Genauigkeit:</t>
  </si>
  <si>
    <t>Je nach Betrieb schwanken die Zahlen erheblich. So können gegenüber einem "guten" Betrieb die Werte eines "schlechten" Betriebes</t>
  </si>
  <si>
    <t>Dies bedeutet auch, dass wenn Sie eine gute Bewertung erhalten, Ihr Betrieb zum besseren Mittelfeld zählt und wahrscheinlich</t>
  </si>
  <si>
    <t>immer noch Verbesserungspotential besteht.</t>
  </si>
  <si>
    <t>Was weiter:</t>
  </si>
  <si>
    <t>Der Detaillierungsgrad ist daher nicht sehr hoch, es werden nur die wichtigsten Daten abgefragt. Die verwendeten Kennzahlen</t>
  </si>
  <si>
    <t>Wenn Sie in einem Bereich Optimierungspotential ausgemacht haben (oder auch wenn es Sie auch sonst interessiert), finden Sie</t>
  </si>
  <si>
    <t>einige Links zu diversen Forschungsberichten mit Optimierungsvorschlägen. Diese Berichte sind teilweise sehr umfangreich und</t>
  </si>
  <si>
    <t>behandelt in den BVT-Schriften (beste verfügbare Technik) der entsprechenden europäischen Kommission sehr</t>
  </si>
  <si>
    <t>ausführlich die modernen Techniken sowie auch deren Einsparpotential.</t>
  </si>
  <si>
    <t>Rückmeldung:</t>
  </si>
  <si>
    <t>Sie Fehler finden, sind wir für eine Rückmeldung dankbar:</t>
  </si>
  <si>
    <t>Es gibt eine Vielzahl von Bewertungssystemen. Hier finden Sie einige Fragen, die sich auf verschiedene Umweltmanagementsysteme beziehen.</t>
  </si>
  <si>
    <t>Fragebogen:</t>
  </si>
  <si>
    <t>Milchverarbeitung:</t>
  </si>
  <si>
    <t>Käsereien:</t>
  </si>
  <si>
    <t>Dieses Blatt ist für grössere Milchverarbeitungsbetriebe gedacht und etwas detaillierter gestaltet.</t>
  </si>
  <si>
    <t>Dieses Blatt ist für eine Käserei mit dem üblichen Produktemix ausgelegt.</t>
  </si>
  <si>
    <t>Fleischverarbeitung:</t>
  </si>
  <si>
    <t>Blatt für einen Schlachthof oder eine Metzgerei mit eigener Schlachtung und Fleischverarbeitung</t>
  </si>
  <si>
    <t>Getränke:</t>
  </si>
  <si>
    <t>Grössere Betriebe mit Herstellung einer grösseren Getränkepalette oder für Mostereien.</t>
  </si>
  <si>
    <t>Brauereien:</t>
  </si>
  <si>
    <t>in Ihrem Betrieb zu gewinnen. Ihre Angaben werden direkt ausgewertet. Die Auswertung zeigt Ihnen, wo allenfall Optimierungspotential</t>
  </si>
  <si>
    <t>Dieses Tool wurde so angelegt, dass Sie mit einem geringen Aufwand erste Resultate erhalten.</t>
  </si>
  <si>
    <t>enthalten sehr detaillierte Untersuchungen und Massnahmenkataloge. Insbesondere die Schriftenreihe des deutschen Umweltbundesamtes</t>
  </si>
  <si>
    <t>Sie können dann die Zahlen ihres eigenen Betriebes eintragen und erhalten sofort eine Bewertung.</t>
  </si>
  <si>
    <t>Liegt der Ring im orangen Bereich besteht mit Sicherheit ein Optimierungspotential.</t>
  </si>
  <si>
    <t>Dieser Fragebogen ist eher für grössere Betriebe interessant. Sie können ihn aber auch mit einem kleineren Betrieb ausfüllen.</t>
  </si>
  <si>
    <t>Betriebe mit grösserer Bierbrauerei. Bez. Brauerei detaillierter als bei Getränke</t>
  </si>
  <si>
    <t>ZVEI</t>
  </si>
  <si>
    <t>www.zvei.org/lebenszykluskosten</t>
  </si>
  <si>
    <t>Berechnungstool Lebenszykluskosten</t>
  </si>
  <si>
    <t xml:space="preserve">Werden Desinfektions- und Reinigungsmittel so sparsam wie möglich verwendet </t>
  </si>
  <si>
    <t>Verarbeitete Fleischmenge in Tonnen eintragen</t>
  </si>
  <si>
    <t>Summe Verarbeitung zu Fleischwaren Tonnen</t>
  </si>
  <si>
    <t>Anzahl zerlegte Tiere eintragen</t>
  </si>
  <si>
    <t>Produktion von Butter, Rahm, Joghut</t>
  </si>
  <si>
    <t>Produktion von Frischkäse, Weichkäse</t>
  </si>
  <si>
    <t>Abwasseranfall Liter</t>
  </si>
  <si>
    <t>CSB mg/l</t>
  </si>
  <si>
    <t>Fett mg/l</t>
  </si>
  <si>
    <t>1.3-2.5</t>
  </si>
  <si>
    <t>1500-2000</t>
  </si>
  <si>
    <t>2000-4000</t>
  </si>
  <si>
    <t>ohne Molke!</t>
  </si>
  <si>
    <t>Hinweise:</t>
  </si>
  <si>
    <t>Dieses Tool ist ein Hilfsmittel zur Abschätzung eines allfälligen Optimierungspotentials.</t>
  </si>
  <si>
    <t>Die Nutzung dieses Tools erfolgt auf eigenes Risiko, es wird jede Haftung ausgeschlossen.</t>
  </si>
  <si>
    <t>Dieses Tool ist Eigentum der Dienststelle uwe des Kantons Luzern.</t>
  </si>
  <si>
    <t>Fraunhofer Institut Systemtechnik und Innovationsforschung, Wirtschafstministerium Baden Württemberg</t>
  </si>
  <si>
    <t>Nr.</t>
  </si>
  <si>
    <t>Minderung öko- und klimaschädigender Abgase aus industriellen Anlagen durch rationelle Energienutzung -Milchverarbeitender Betrieb-</t>
  </si>
  <si>
    <t>Bayrisches Landesamt für Umweltschutz</t>
  </si>
  <si>
    <r>
      <t>BSB</t>
    </r>
    <r>
      <rPr>
        <vertAlign val="subscript"/>
        <sz val="11"/>
        <rFont val="Arial"/>
        <family val="2"/>
      </rPr>
      <t>5</t>
    </r>
    <r>
      <rPr>
        <sz val="11"/>
        <rFont val="Arial"/>
        <family val="2"/>
      </rPr>
      <t xml:space="preserve"> mg/l</t>
    </r>
  </si>
  <si>
    <r>
      <t>N</t>
    </r>
    <r>
      <rPr>
        <vertAlign val="subscript"/>
        <sz val="11"/>
        <rFont val="Arial"/>
        <family val="2"/>
      </rPr>
      <t xml:space="preserve">tot </t>
    </r>
    <r>
      <rPr>
        <sz val="11"/>
        <rFont val="Arial"/>
        <family val="2"/>
      </rPr>
      <t>mg/l</t>
    </r>
  </si>
  <si>
    <r>
      <t>P</t>
    </r>
    <r>
      <rPr>
        <vertAlign val="subscript"/>
        <sz val="11"/>
        <rFont val="Arial"/>
        <family val="2"/>
      </rPr>
      <t xml:space="preserve">tot </t>
    </r>
    <r>
      <rPr>
        <sz val="11"/>
        <rFont val="Arial"/>
        <family val="2"/>
      </rPr>
      <t>mg/l</t>
    </r>
  </si>
  <si>
    <r>
      <t xml:space="preserve">Schmutzwas-sermenge m3 </t>
    </r>
    <r>
      <rPr>
        <sz val="9"/>
        <rFont val="Arial"/>
        <family val="2"/>
      </rPr>
      <t>(* ohne Brüdenkondensate)</t>
    </r>
  </si>
  <si>
    <r>
      <t>Gesamtverbrauch</t>
    </r>
    <r>
      <rPr>
        <sz val="8"/>
        <rFont val="Arial"/>
        <family val="2"/>
      </rPr>
      <t xml:space="preserve"> (alle Prozesse inkl. Kühlung, Verpackung etc.)</t>
    </r>
  </si>
  <si>
    <r>
      <t>Butter Chargenverfahren</t>
    </r>
    <r>
      <rPr>
        <b/>
        <sz val="11"/>
        <rFont val="Arial"/>
        <family val="2"/>
      </rPr>
      <t xml:space="preserve"> </t>
    </r>
    <r>
      <rPr>
        <b/>
        <sz val="10"/>
        <rFont val="Arial"/>
        <family val="2"/>
      </rPr>
      <t>(pro 1000 kg Butter)</t>
    </r>
  </si>
  <si>
    <r>
      <t xml:space="preserve">Butter kontinuerliches Vefahren </t>
    </r>
    <r>
      <rPr>
        <b/>
        <sz val="10"/>
        <rFont val="Arial"/>
        <family val="2"/>
      </rPr>
      <t>(pro 1000 kg Butter)</t>
    </r>
  </si>
  <si>
    <r>
      <t>Schmelzkäse</t>
    </r>
    <r>
      <rPr>
        <b/>
        <sz val="9"/>
        <rFont val="Arial"/>
        <family val="2"/>
      </rPr>
      <t xml:space="preserve"> (pro 1000 kg Käse)</t>
    </r>
  </si>
  <si>
    <t>KMU-Initiative zur Energieeffizienzsteigerung, Begleitstudie Kennwerte zur Energieeffizienz in KMU</t>
  </si>
  <si>
    <t>Dezember 2000</t>
  </si>
  <si>
    <t>2010</t>
  </si>
  <si>
    <t>Jahr</t>
  </si>
  <si>
    <t>Energiekennzahlen, jeweils pro 1000kg verarbeitete Rohmilch (Lit.1, 4)</t>
  </si>
  <si>
    <t>Forschungsstelle für Energiewirtschaft, München</t>
  </si>
  <si>
    <t>April 1999</t>
  </si>
  <si>
    <t>ganz grobe Übersicht Abwasserkennzahlen (Richtwerte) Lit. 5</t>
  </si>
  <si>
    <t>DWA</t>
  </si>
  <si>
    <t>Zusammenstellung einzelner Produkte und deren Kennwerte, Lit. 5</t>
  </si>
  <si>
    <t>Merkblatt DWA-M-708 Abwasser aus der Milchindustrie</t>
  </si>
  <si>
    <t>Abwasserkennwerte, jeweils pro 1000 kg verarbeitete Milch (Lit. 6)</t>
  </si>
  <si>
    <r>
      <t xml:space="preserve">Schmelzkäse </t>
    </r>
    <r>
      <rPr>
        <b/>
        <sz val="9"/>
        <rFont val="Arial"/>
        <family val="2"/>
      </rPr>
      <t>Achtung: hier produzierte Käsemenge eintragen</t>
    </r>
  </si>
  <si>
    <r>
      <t>Summe kg resp. m</t>
    </r>
    <r>
      <rPr>
        <vertAlign val="superscript"/>
        <sz val="11"/>
        <rFont val="Arial"/>
        <family val="2"/>
      </rPr>
      <t>3</t>
    </r>
  </si>
  <si>
    <t>(Kennzahlen aus Lit.5)</t>
  </si>
  <si>
    <t>Hier können Sie sich schnell einen Überblick über die Abwassersituation in Ihrem Betrieb machen.</t>
  </si>
  <si>
    <t>Tragen Sie dazu in die grünen Felder die verarbeitete Milchmenge ein. Es wird Ihnen der erwartete Abwasseranfall</t>
  </si>
  <si>
    <t>und dessen Belastung angezeigt. Den effektiven Abwasseranfall und eventuell dessen Belastung können Sie aus Ihrer</t>
  </si>
  <si>
    <t>Abwasserrechnung entnehmen und eingeben.</t>
  </si>
  <si>
    <t>Es wird Ihnen angezeigt, wieviel tiefer oder höher Ihre Werte sind und ob Optimierungspotential besteht.</t>
  </si>
  <si>
    <t>kg/Jahr</t>
  </si>
  <si>
    <t>Linear in Abhängigkeit der jährlich verarbeiteten Milchmenge in Mio kg/a</t>
  </si>
  <si>
    <t>b</t>
  </si>
  <si>
    <t>Abwassermenge m3/Jahr:</t>
  </si>
  <si>
    <r>
      <t>kg BSB</t>
    </r>
    <r>
      <rPr>
        <b/>
        <vertAlign val="subscript"/>
        <sz val="11"/>
        <rFont val="Arial"/>
        <family val="2"/>
      </rPr>
      <t>5</t>
    </r>
    <r>
      <rPr>
        <b/>
        <sz val="11"/>
        <rFont val="Arial"/>
        <family val="2"/>
      </rPr>
      <t>/Jahr</t>
    </r>
  </si>
  <si>
    <t>kg CSB/Jahr</t>
  </si>
  <si>
    <r>
      <t>m</t>
    </r>
    <r>
      <rPr>
        <b/>
        <vertAlign val="superscript"/>
        <sz val="10"/>
        <rFont val="Arial"/>
        <family val="2"/>
      </rPr>
      <t>3</t>
    </r>
    <r>
      <rPr>
        <b/>
        <sz val="10"/>
        <rFont val="Arial"/>
        <family val="2"/>
      </rPr>
      <t xml:space="preserve"> Abwasser / Jahr</t>
    </r>
    <r>
      <rPr>
        <sz val="8"/>
        <rFont val="Arial"/>
        <family val="2"/>
      </rPr>
      <t xml:space="preserve"> (ohne Brüdenkondensate)</t>
    </r>
  </si>
  <si>
    <r>
      <t>Die eingetragene Abwasserbelastung (CSB resp. BSB</t>
    </r>
    <r>
      <rPr>
        <vertAlign val="subscript"/>
        <sz val="11"/>
        <rFont val="Arial"/>
        <family val="2"/>
      </rPr>
      <t>5</t>
    </r>
    <r>
      <rPr>
        <sz val="11"/>
        <rFont val="Arial"/>
        <family val="2"/>
      </rPr>
      <t>) entspricht einem Verlust von</t>
    </r>
  </si>
  <si>
    <t>der verarbeiteten</t>
  </si>
  <si>
    <t>Milchmenge. Der Verlust sollte maximal 1 % betragen.</t>
  </si>
  <si>
    <t>bei CHF 0.60/kg</t>
  </si>
  <si>
    <t>entspr. CHF/Jahr</t>
  </si>
  <si>
    <t>Sparpotential, berechnet aus effektivem minus erwartetem Anfall:</t>
  </si>
  <si>
    <t>Kennzahlen für die Milchverarbeitung</t>
  </si>
  <si>
    <t>Wenn Sie genauere Angaben haben oder etwas mehr Zeit investieren möchten, können Sie hier einen detaillierteren</t>
  </si>
  <si>
    <t>Überblick über die Abwassersituation bekommen. Tragen Sie hier in die grünen Felder die zum jeweiligen Produkt</t>
  </si>
  <si>
    <t>jährlich verarbeitete Milchmenge ein (ausser es ist etwas anderes angegeben).</t>
  </si>
  <si>
    <t>Detailiertere Übersicht Abwasseranfall</t>
  </si>
  <si>
    <t>Kennzahlen aus Lit. 6</t>
  </si>
  <si>
    <t>Sparpotential, berechnet aus effektivem minus erwartetem Anfall</t>
  </si>
  <si>
    <t>-&gt;</t>
  </si>
  <si>
    <t>Grobübersicht    -&gt;</t>
  </si>
  <si>
    <r>
      <t xml:space="preserve">Grobübersicht Abwasser </t>
    </r>
    <r>
      <rPr>
        <sz val="11"/>
        <rFont val="Arial"/>
        <family val="2"/>
      </rPr>
      <t>(ungenauer)</t>
    </r>
  </si>
  <si>
    <t>detailliertere Übersicht</t>
  </si>
  <si>
    <r>
      <t xml:space="preserve">detailliertere Übersicht </t>
    </r>
    <r>
      <rPr>
        <sz val="12"/>
        <rFont val="Arial"/>
        <family val="2"/>
      </rPr>
      <t xml:space="preserve">Abwasser </t>
    </r>
    <r>
      <rPr>
        <sz val="11"/>
        <rFont val="Arial"/>
        <family val="2"/>
      </rPr>
      <t>(genauer)</t>
    </r>
  </si>
  <si>
    <t>Grobübersicht Energie</t>
  </si>
  <si>
    <t>erwarterter Energieverbrauch</t>
  </si>
  <si>
    <t>Wärmeenergie total MJ/Jahr</t>
  </si>
  <si>
    <t>Anteil Wärmeenergie für Konzentration und Eindampfung MJ/Jahr</t>
  </si>
  <si>
    <t>elektrische Energie total kWh/Jahr</t>
  </si>
  <si>
    <t>verarbeitete Milchmenge kg/Jahr</t>
  </si>
  <si>
    <r>
      <t>kg BSB</t>
    </r>
    <r>
      <rPr>
        <b/>
        <vertAlign val="subscript"/>
        <sz val="10"/>
        <rFont val="Arial"/>
        <family val="2"/>
      </rPr>
      <t>5</t>
    </r>
    <r>
      <rPr>
        <b/>
        <sz val="10"/>
        <rFont val="Arial"/>
        <family val="2"/>
      </rPr>
      <t>/Jahr</t>
    </r>
  </si>
  <si>
    <r>
      <t>m</t>
    </r>
    <r>
      <rPr>
        <b/>
        <vertAlign val="superscript"/>
        <sz val="10"/>
        <rFont val="Arial"/>
        <family val="2"/>
      </rPr>
      <t>3</t>
    </r>
    <r>
      <rPr>
        <b/>
        <sz val="10"/>
        <rFont val="Arial"/>
        <family val="2"/>
      </rPr>
      <t xml:space="preserve"> Abwasser/Jahr</t>
    </r>
  </si>
  <si>
    <t>effektiven  Anfall eintragen (soweit bekannt)</t>
  </si>
  <si>
    <t>MJ/Jahr</t>
  </si>
  <si>
    <t>Energieinhalt Heizöl ca.: 10 kWh/kg, Erdgas 10 kWh/kg, Holz 5 kWh/kg; 1MJ=0.27778 kWh</t>
  </si>
  <si>
    <t>Frischprodukte wie Joghurt, Frischkäse</t>
  </si>
  <si>
    <t>kWh/Jahr</t>
  </si>
  <si>
    <t>effektiven Verbrauch eintragen</t>
  </si>
  <si>
    <t>Erdgas kg/Jahr:</t>
  </si>
  <si>
    <t>Heizöl kg/Jahr:</t>
  </si>
  <si>
    <t>elektrische Energie kWh/Jahr:</t>
  </si>
  <si>
    <t>Sparpotential, berechnet aus effektivem minus erwartetem Verbrauch</t>
  </si>
  <si>
    <t>elektrische Energie kWh/Jahr</t>
  </si>
  <si>
    <t>bei CHF 0.20/kWh</t>
  </si>
  <si>
    <t>als Gas à CHF 0.6/kg</t>
  </si>
  <si>
    <r>
      <t>effektiv gemessene Werte eintragen kg/Jahr resp. m</t>
    </r>
    <r>
      <rPr>
        <b/>
        <vertAlign val="superscript"/>
        <sz val="11"/>
        <rFont val="Arial"/>
        <family val="2"/>
      </rPr>
      <t>3</t>
    </r>
    <r>
      <rPr>
        <b/>
        <sz val="11"/>
        <rFont val="Arial"/>
        <family val="2"/>
      </rPr>
      <t>/Jahr</t>
    </r>
  </si>
  <si>
    <t>el. Energie kWh/Jahr</t>
  </si>
  <si>
    <t>Energie     -&gt;      Total Sparpotential CHF      -&gt;</t>
  </si>
  <si>
    <t>Hier können Sie sich einen Überblick über den Energieverbrauch bilden. Einfach in die grünen Felder die für das jeweilige Produkt verarbeitete</t>
  </si>
  <si>
    <t>Milchmenge eintragen und mit Ihrer Strom-, Gas- ,Heizölrechnung vergleichen.</t>
  </si>
  <si>
    <t>Summe Sparpotentiale CHF/Jahr</t>
  </si>
  <si>
    <t>Sparpotential Abwasser CHF/Jahr</t>
  </si>
  <si>
    <t>Sparpotential Wärmeenergie CHF/Jahr</t>
  </si>
  <si>
    <t>Sparpotential elektrische Energie CHF/Jahr</t>
  </si>
  <si>
    <t>Total CHF/Jahr:</t>
  </si>
  <si>
    <t>Dieses Sparpotential ist entgangener Gewinn!</t>
  </si>
  <si>
    <t>Hier sind die Sparpotentiale zusammengestellt, lassen Sie sich überraschen.</t>
  </si>
  <si>
    <t>Fragebogen Optimierungspotential</t>
  </si>
  <si>
    <t xml:space="preserve"> Fragebogen Optimierungspotential</t>
  </si>
  <si>
    <t>Antwort</t>
  </si>
  <si>
    <t>Auswertung Fragebogen</t>
  </si>
  <si>
    <t>Auswahlliste Fragebogen</t>
  </si>
  <si>
    <t>Verwendete Grundlagedaten</t>
  </si>
  <si>
    <t>Sind die Ablassöffnungen bei Lagertanks, Anlagen etc. unten am tiefsten Punkt angebracht</t>
  </si>
  <si>
    <t>Werden vor einer Reinigung die Lagertanks, Konzentratoren, Anlagen etc. restlos geleert und genügend lange Austropfen gelassen</t>
  </si>
  <si>
    <t>Werden Tanks, Anlagen etc. mit Wasser/Spülmilch vorgereinigt und das Spülwasser gesammelt und wiederverwertet</t>
  </si>
  <si>
    <t>In diesem Fragebogen sind übliche Optimierungsmassnahmen zusammengestellt. Beantworten Sie die Fragen, es wird Ihnen in der</t>
  </si>
  <si>
    <t>Zusammenfassung Sparpotentiale</t>
  </si>
  <si>
    <t>nicht relevant</t>
  </si>
  <si>
    <t>Anzahl Fragen ohne "nicht relevant"</t>
  </si>
  <si>
    <t>Grafik angezeigt, wo allenfalls noch Optimierungspotential vorhanden ist. Bei Klick auf die Antwortzelle, können Sie die Antwort aus</t>
  </si>
  <si>
    <t>einer Liste auswählen. Ist der entsprechende Prozess bei Ihnen nicht vorhanden, antworten Sie mit "nicht relevant", sonst mit "Ja" oder "Nein".</t>
  </si>
  <si>
    <r>
      <t>kg BSB</t>
    </r>
    <r>
      <rPr>
        <b/>
        <vertAlign val="subscript"/>
        <sz val="11"/>
        <color theme="1"/>
        <rFont val="Arial"/>
        <family val="2"/>
      </rPr>
      <t>5</t>
    </r>
    <r>
      <rPr>
        <b/>
        <sz val="11"/>
        <color theme="1"/>
        <rFont val="Arial"/>
        <family val="2"/>
      </rPr>
      <t>/Jahr</t>
    </r>
  </si>
  <si>
    <r>
      <t>m</t>
    </r>
    <r>
      <rPr>
        <b/>
        <vertAlign val="superscript"/>
        <sz val="10"/>
        <color theme="1"/>
        <rFont val="Arial"/>
        <family val="2"/>
      </rPr>
      <t>3</t>
    </r>
    <r>
      <rPr>
        <b/>
        <sz val="10"/>
        <color theme="1"/>
        <rFont val="Arial"/>
        <family val="2"/>
      </rPr>
      <t xml:space="preserve"> Abwasser/Jahr </t>
    </r>
    <r>
      <rPr>
        <sz val="10"/>
        <color theme="1"/>
        <rFont val="Arial"/>
        <family val="2"/>
      </rPr>
      <t>(in ARA eingeleitet)</t>
    </r>
    <r>
      <rPr>
        <sz val="8"/>
        <color theme="1"/>
        <rFont val="Arial"/>
        <family val="2"/>
      </rPr>
      <t xml:space="preserve">  </t>
    </r>
  </si>
  <si>
    <r>
      <t>Frischwasserverbrauch m</t>
    </r>
    <r>
      <rPr>
        <b/>
        <vertAlign val="superscript"/>
        <sz val="10"/>
        <color theme="1"/>
        <rFont val="Arial"/>
        <family val="2"/>
      </rPr>
      <t>3</t>
    </r>
    <r>
      <rPr>
        <b/>
        <sz val="10"/>
        <color theme="1"/>
        <rFont val="Arial"/>
        <family val="2"/>
      </rPr>
      <t>/Jahr *</t>
    </r>
  </si>
  <si>
    <t>Kennzahlen aus Lit. 5</t>
  </si>
  <si>
    <t>Frischprodukte wie Joghurt, Frischkäse, Quark</t>
  </si>
  <si>
    <t xml:space="preserve">max </t>
  </si>
  <si>
    <t>m3/1000 kg</t>
  </si>
  <si>
    <t>min (350000000 kg/a</t>
  </si>
  <si>
    <t>in Mio kg/a</t>
  </si>
  <si>
    <t>csb</t>
  </si>
  <si>
    <t>bsb</t>
  </si>
  <si>
    <r>
      <t>m</t>
    </r>
    <r>
      <rPr>
        <b/>
        <vertAlign val="superscript"/>
        <sz val="10"/>
        <rFont val="Arial"/>
        <family val="2"/>
      </rPr>
      <t>3</t>
    </r>
    <r>
      <rPr>
        <b/>
        <sz val="10"/>
        <rFont val="Arial"/>
        <family val="2"/>
      </rPr>
      <t xml:space="preserve"> Abwasser / Jahr</t>
    </r>
    <r>
      <rPr>
        <sz val="8"/>
        <rFont val="Arial"/>
        <family val="2"/>
      </rPr>
      <t xml:space="preserve"> (ohne Kühlwasser)</t>
    </r>
  </si>
  <si>
    <r>
      <t>Die eingetragene Abwasserbelastung (CSB resp. BSB</t>
    </r>
    <r>
      <rPr>
        <vertAlign val="subscript"/>
        <sz val="11"/>
        <rFont val="Arial"/>
        <family val="2"/>
      </rPr>
      <t>5</t>
    </r>
    <r>
      <rPr>
        <sz val="11"/>
        <rFont val="Arial"/>
        <family val="2"/>
      </rPr>
      <t>) entspricht einem Verlust von : % der Milchmenge (soll max. 1%)</t>
    </r>
  </si>
  <si>
    <t xml:space="preserve">elektrische Energie kWh/Jahr: </t>
  </si>
  <si>
    <t>entspr. CHF/Jahr bei CHF 0.20 /kWh:</t>
  </si>
  <si>
    <t>Hier können Sie sich einen Überblick über den Energieverbrauch bilden.</t>
  </si>
  <si>
    <t>Einfach in die grünen Felder die für das jeweilige Produkt verarbeitete</t>
  </si>
  <si>
    <t>Wirtschaftsministerium Baden-Württemberg</t>
  </si>
  <si>
    <t>unbekannt</t>
  </si>
  <si>
    <t>http://www.fromarte.ch/de/dienstleistungen/bestellen</t>
  </si>
  <si>
    <t>Merkblatt über die besten verfügbaren Technikenin der Nahrungsmittel-, Getränke- und Milchindustrie</t>
  </si>
  <si>
    <t>Deutsches Umweltbundesamt</t>
  </si>
  <si>
    <t>Wird die warme Molke zum Vorwärmen der Milch verwendet</t>
  </si>
  <si>
    <t>Lit. 7, 8</t>
  </si>
  <si>
    <t>Abwasserkennzahlen jeweils pro kg verarbeitete Milch, Lit 6, 8</t>
  </si>
  <si>
    <t>FAM-Info Nr. 453, neue Milchprodukte dank Membrantrenntechnik</t>
  </si>
  <si>
    <t>Eidg. Forschungsanstalt für Milchwirtschaft, Liebefeld</t>
  </si>
  <si>
    <t>Typische Aufkonzentrierung:</t>
  </si>
  <si>
    <t>von 5.5 % TS auf 15 % TS</t>
  </si>
  <si>
    <t>Energiebedarf</t>
  </si>
  <si>
    <t>Verwendet bei den Kennzahlen:</t>
  </si>
  <si>
    <t>7.5 kWh/m3 Permeat, entspr.</t>
  </si>
  <si>
    <t>kWh/t Molke</t>
  </si>
  <si>
    <r>
      <t>5-10 kWh/m</t>
    </r>
    <r>
      <rPr>
        <vertAlign val="superscript"/>
        <sz val="11"/>
        <color theme="1"/>
        <rFont val="Arial"/>
        <family val="2"/>
      </rPr>
      <t>3</t>
    </r>
    <r>
      <rPr>
        <sz val="11"/>
        <color theme="1"/>
        <rFont val="Arial"/>
        <family val="2"/>
      </rPr>
      <t xml:space="preserve"> Permeat, Abhängig von Membrantyp</t>
    </r>
  </si>
  <si>
    <t>Energiekennzahlen Molkenkonzentrierung (Lit. 9)</t>
  </si>
  <si>
    <t>Butter Chargenverfahren</t>
  </si>
  <si>
    <t>Butter kontinuierliches Verfahren</t>
  </si>
  <si>
    <t>vearbeitete Roh- Milchmenge kg/Jahr</t>
  </si>
  <si>
    <t>verarbeitete Roh- Milchmenge</t>
  </si>
  <si>
    <t>verarbeitete Roh- Milchmenge kg/Jahr</t>
  </si>
  <si>
    <t>Sind alle Leitungen, die Medien bei Temperaturen über oder unter Raumtemperatur führen, isoliert</t>
  </si>
  <si>
    <t>Wird das Vorspülwasser bei der Reinigung von Kannen/Tanks/Anlagen gesammelt und aufbereitet oder wiederverwertet</t>
  </si>
  <si>
    <t>Energiekennzahlen Molkenkonzentrierung mit RO (Lit. 9)</t>
  </si>
  <si>
    <t>Wärmeen. MJ/Jahr</t>
  </si>
  <si>
    <t>Molkekonzentrierung mit RO von ca. 5.5 % TS auf 15 % TS (Achtung: kg Molke eintragen)</t>
  </si>
  <si>
    <r>
      <t xml:space="preserve">Molkekonzentrierung mit RO  </t>
    </r>
    <r>
      <rPr>
        <sz val="10"/>
        <color theme="1"/>
        <rFont val="Arial"/>
        <family val="2"/>
      </rPr>
      <t>(Achtung: kg Molke eintragen), Konzentrierung von ca. 5.5 % TS auf 15 % TS</t>
    </r>
  </si>
  <si>
    <t>Anfall von Blut,Magen- und Darminhalt Lit. 6</t>
  </si>
  <si>
    <t>Anteil Verbrauch elektrische Energie Lit. 10</t>
  </si>
  <si>
    <t>BVT Merkblatt zu Tierschlachanlagen/Anlagen zur verarbeitung von tierischen Nebenprodukten</t>
  </si>
  <si>
    <t>spez. Abwasserbelastung Verarbeitung Lit. 6</t>
  </si>
  <si>
    <t>spez. Abwasserbelastung Zerlegung Lit. 6</t>
  </si>
  <si>
    <t>spez. Abwasserbelastung Schlachtung Lit. 6, 10</t>
  </si>
  <si>
    <t>Schlachten und Fleischverarbeitung</t>
  </si>
  <si>
    <t>Fleischer &gt; 250 t</t>
  </si>
  <si>
    <t>total</t>
  </si>
  <si>
    <t>pro kg Rohmaterial</t>
  </si>
  <si>
    <t>Gesamtenergie</t>
  </si>
  <si>
    <t>grün</t>
  </si>
  <si>
    <t>gelb</t>
  </si>
  <si>
    <t>orange</t>
  </si>
  <si>
    <t>rot</t>
  </si>
  <si>
    <t>&lt;bis</t>
  </si>
  <si>
    <t>Energiebedarf Lit. 3</t>
  </si>
  <si>
    <t>Stromanteil durchschnittlich 40 %</t>
  </si>
  <si>
    <t>Kältegerät</t>
  </si>
  <si>
    <t>Cutter</t>
  </si>
  <si>
    <t>Lüftungsanlage</t>
  </si>
  <si>
    <t>Lit. 11</t>
  </si>
  <si>
    <t>0.75 kWh/kg Rohmaterial</t>
  </si>
  <si>
    <t>Information für das Fleischerhandwerk</t>
  </si>
  <si>
    <t>proKlima, Hannover</t>
  </si>
  <si>
    <t>kWh/Tier</t>
  </si>
  <si>
    <t>Füllmaschine</t>
  </si>
  <si>
    <t>Lit 6,10
Tierart</t>
  </si>
  <si>
    <t>Energiekennzahlen</t>
  </si>
  <si>
    <t>Total kWh/Jahr</t>
  </si>
  <si>
    <t>Rohmilchmenge kg/Jahr</t>
  </si>
  <si>
    <t>kWh/Jahr:</t>
  </si>
  <si>
    <t>effektiven Verbrauch eintragen:</t>
  </si>
  <si>
    <t>Abweichung Faktor:</t>
  </si>
  <si>
    <t>Summen:</t>
  </si>
  <si>
    <t>erwarteter Verbrauch:</t>
  </si>
  <si>
    <t>effektiver Energieverbrauch:</t>
  </si>
  <si>
    <t>Wärmeenergie kWh / Jahr</t>
  </si>
  <si>
    <t>elektrische Energie kWh / Jahr</t>
  </si>
  <si>
    <t>Energiebedarf total kWh /Jahr</t>
  </si>
  <si>
    <t>effektiver Energieverbrauch kWh/Jahr:</t>
  </si>
  <si>
    <t>total kWh/Jahr</t>
  </si>
  <si>
    <t>Wärmeenergie total kWh/Jahr</t>
  </si>
  <si>
    <t>Wärmeen. kWh/Jahr</t>
  </si>
  <si>
    <t>Anzahl geschlachtete Tiere / Jahr eintragen</t>
  </si>
  <si>
    <r>
      <t>m</t>
    </r>
    <r>
      <rPr>
        <b/>
        <vertAlign val="superscript"/>
        <sz val="11"/>
        <color theme="1"/>
        <rFont val="Arial"/>
        <family val="2"/>
      </rPr>
      <t>3</t>
    </r>
    <r>
      <rPr>
        <b/>
        <sz val="11"/>
        <color theme="1"/>
        <rFont val="Arial"/>
        <family val="2"/>
      </rPr>
      <t>/Jahr</t>
    </r>
  </si>
  <si>
    <t>Anzahl Tiere/Jahr</t>
  </si>
  <si>
    <r>
      <t>BSB</t>
    </r>
    <r>
      <rPr>
        <b/>
        <vertAlign val="subscript"/>
        <sz val="11"/>
        <color theme="1"/>
        <rFont val="Arial"/>
        <family val="2"/>
      </rPr>
      <t>5</t>
    </r>
    <r>
      <rPr>
        <b/>
        <sz val="11"/>
        <color theme="1"/>
        <rFont val="Arial"/>
        <family val="2"/>
      </rPr>
      <t xml:space="preserve"> kg/Jahr</t>
    </r>
  </si>
  <si>
    <t>CSB kg/Jahr</t>
  </si>
  <si>
    <r>
      <t>Abwasser m</t>
    </r>
    <r>
      <rPr>
        <b/>
        <vertAlign val="superscript"/>
        <sz val="11"/>
        <color theme="1"/>
        <rFont val="Arial"/>
        <family val="2"/>
      </rPr>
      <t>3</t>
    </r>
    <r>
      <rPr>
        <b/>
        <sz val="11"/>
        <color theme="1"/>
        <rFont val="Arial"/>
        <family val="2"/>
      </rPr>
      <t>/Jahr</t>
    </r>
  </si>
  <si>
    <t>Anzahl geschlachtete Tiere / Jahr</t>
  </si>
  <si>
    <t>Starkverschmutzerzuschläge</t>
  </si>
  <si>
    <t>ab</t>
  </si>
  <si>
    <t>m3/Jahr</t>
  </si>
  <si>
    <t>EW/Jahr</t>
  </si>
  <si>
    <t>GUS</t>
  </si>
  <si>
    <t>CSB gelöst</t>
  </si>
  <si>
    <t>N gelöst</t>
  </si>
  <si>
    <t>P gelöst</t>
  </si>
  <si>
    <t>Jahresfracht</t>
  </si>
  <si>
    <t>kg/a</t>
  </si>
  <si>
    <t>Basiswerte</t>
  </si>
  <si>
    <t>Q</t>
  </si>
  <si>
    <t>S</t>
  </si>
  <si>
    <t>NG</t>
  </si>
  <si>
    <t>R</t>
  </si>
  <si>
    <t>T</t>
  </si>
  <si>
    <t>m3/a</t>
  </si>
  <si>
    <t>Berechnung Einwohnerwerte</t>
  </si>
  <si>
    <t>Berechnung Frachtindikatoren</t>
  </si>
  <si>
    <t>Berechnung Verschmutzugsfaktoren</t>
  </si>
  <si>
    <t>Runden auf minimal 1</t>
  </si>
  <si>
    <t>Gewichteter Verschmutzungsfaktor</t>
  </si>
  <si>
    <r>
      <t>B</t>
    </r>
    <r>
      <rPr>
        <vertAlign val="subscript"/>
        <sz val="11"/>
        <color theme="1"/>
        <rFont val="Calibri"/>
        <family val="2"/>
        <scheme val="minor"/>
      </rPr>
      <t>OX</t>
    </r>
  </si>
  <si>
    <r>
      <t>B</t>
    </r>
    <r>
      <rPr>
        <vertAlign val="subscript"/>
        <sz val="11"/>
        <color theme="1"/>
        <rFont val="Calibri"/>
        <family val="2"/>
        <scheme val="minor"/>
      </rPr>
      <t>S</t>
    </r>
  </si>
  <si>
    <r>
      <t>FI</t>
    </r>
    <r>
      <rPr>
        <vertAlign val="subscript"/>
        <sz val="11"/>
        <color theme="1"/>
        <rFont val="Calibri"/>
        <family val="2"/>
        <scheme val="minor"/>
      </rPr>
      <t>OX</t>
    </r>
  </si>
  <si>
    <r>
      <t>FI</t>
    </r>
    <r>
      <rPr>
        <vertAlign val="subscript"/>
        <sz val="11"/>
        <color theme="1"/>
        <rFont val="Calibri"/>
        <family val="2"/>
        <scheme val="minor"/>
      </rPr>
      <t>S</t>
    </r>
  </si>
  <si>
    <r>
      <t>FI</t>
    </r>
    <r>
      <rPr>
        <vertAlign val="subscript"/>
        <sz val="11"/>
        <color theme="1"/>
        <rFont val="Calibri"/>
        <family val="2"/>
        <scheme val="minor"/>
      </rPr>
      <t>P</t>
    </r>
  </si>
  <si>
    <r>
      <t>EWG</t>
    </r>
    <r>
      <rPr>
        <vertAlign val="subscript"/>
        <sz val="11"/>
        <color theme="1"/>
        <rFont val="Calibri"/>
        <family val="2"/>
        <scheme val="minor"/>
      </rPr>
      <t>H</t>
    </r>
  </si>
  <si>
    <r>
      <t>EWG</t>
    </r>
    <r>
      <rPr>
        <vertAlign val="subscript"/>
        <sz val="11"/>
        <color theme="1"/>
        <rFont val="Calibri"/>
        <family val="2"/>
        <scheme val="minor"/>
      </rPr>
      <t>OX</t>
    </r>
  </si>
  <si>
    <r>
      <t>EWG</t>
    </r>
    <r>
      <rPr>
        <vertAlign val="subscript"/>
        <sz val="11"/>
        <color theme="1"/>
        <rFont val="Calibri"/>
        <family val="2"/>
        <scheme val="minor"/>
      </rPr>
      <t>S</t>
    </r>
  </si>
  <si>
    <r>
      <t>EWG</t>
    </r>
    <r>
      <rPr>
        <vertAlign val="subscript"/>
        <sz val="11"/>
        <color theme="1"/>
        <rFont val="Calibri"/>
        <family val="2"/>
        <scheme val="minor"/>
      </rPr>
      <t>P</t>
    </r>
  </si>
  <si>
    <r>
      <t>f</t>
    </r>
    <r>
      <rPr>
        <vertAlign val="subscript"/>
        <sz val="11"/>
        <color theme="1"/>
        <rFont val="Calibri"/>
        <family val="2"/>
        <scheme val="minor"/>
      </rPr>
      <t>OX</t>
    </r>
  </si>
  <si>
    <r>
      <t>f</t>
    </r>
    <r>
      <rPr>
        <vertAlign val="subscript"/>
        <sz val="11"/>
        <color theme="1"/>
        <rFont val="Calibri"/>
        <family val="2"/>
        <scheme val="minor"/>
      </rPr>
      <t>S</t>
    </r>
  </si>
  <si>
    <r>
      <t>f</t>
    </r>
    <r>
      <rPr>
        <vertAlign val="subscript"/>
        <sz val="11"/>
        <color theme="1"/>
        <rFont val="Calibri"/>
        <family val="2"/>
        <scheme val="minor"/>
      </rPr>
      <t>P</t>
    </r>
  </si>
  <si>
    <r>
      <t>F</t>
    </r>
    <r>
      <rPr>
        <vertAlign val="subscript"/>
        <sz val="11"/>
        <color theme="1"/>
        <rFont val="Calibri"/>
        <family val="2"/>
        <scheme val="minor"/>
      </rPr>
      <t>G</t>
    </r>
  </si>
  <si>
    <r>
      <t>Gewichtete E</t>
    </r>
    <r>
      <rPr>
        <vertAlign val="subscript"/>
        <sz val="11"/>
        <color theme="1"/>
        <rFont val="Calibri"/>
        <family val="2"/>
        <scheme val="minor"/>
      </rPr>
      <t>G</t>
    </r>
  </si>
  <si>
    <r>
      <t>E</t>
    </r>
    <r>
      <rPr>
        <vertAlign val="subscript"/>
        <sz val="11"/>
        <color theme="1"/>
        <rFont val="Calibri"/>
        <family val="2"/>
        <scheme val="minor"/>
      </rPr>
      <t>G</t>
    </r>
  </si>
  <si>
    <r>
      <t>B</t>
    </r>
    <r>
      <rPr>
        <vertAlign val="subscript"/>
        <sz val="11"/>
        <color theme="1"/>
        <rFont val="Calibri"/>
        <family val="2"/>
        <scheme val="minor"/>
      </rPr>
      <t>CSB</t>
    </r>
  </si>
  <si>
    <r>
      <t>B</t>
    </r>
    <r>
      <rPr>
        <vertAlign val="subscript"/>
        <sz val="11"/>
        <color theme="1"/>
        <rFont val="Calibri"/>
        <family val="2"/>
        <scheme val="minor"/>
      </rPr>
      <t>GUS</t>
    </r>
  </si>
  <si>
    <r>
      <t>B</t>
    </r>
    <r>
      <rPr>
        <vertAlign val="subscript"/>
        <sz val="11"/>
        <color theme="1"/>
        <rFont val="Calibri"/>
        <family val="2"/>
        <scheme val="minor"/>
      </rPr>
      <t>N</t>
    </r>
  </si>
  <si>
    <r>
      <t>B</t>
    </r>
    <r>
      <rPr>
        <vertAlign val="subscript"/>
        <sz val="11"/>
        <color theme="1"/>
        <rFont val="Calibri"/>
        <family val="2"/>
        <scheme val="minor"/>
      </rPr>
      <t>P</t>
    </r>
  </si>
  <si>
    <r>
      <t>B</t>
    </r>
    <r>
      <rPr>
        <vertAlign val="subscript"/>
        <sz val="11"/>
        <color theme="1"/>
        <rFont val="Calibri"/>
        <family val="2"/>
        <scheme val="minor"/>
      </rPr>
      <t>Q</t>
    </r>
  </si>
  <si>
    <r>
      <t>g</t>
    </r>
    <r>
      <rPr>
        <vertAlign val="subscript"/>
        <sz val="11"/>
        <color theme="1"/>
        <rFont val="Calibri"/>
        <family val="2"/>
        <scheme val="minor"/>
      </rPr>
      <t>H</t>
    </r>
  </si>
  <si>
    <r>
      <t>g</t>
    </r>
    <r>
      <rPr>
        <vertAlign val="subscript"/>
        <sz val="11"/>
        <color theme="1"/>
        <rFont val="Calibri"/>
        <family val="2"/>
        <scheme val="minor"/>
      </rPr>
      <t>OX</t>
    </r>
  </si>
  <si>
    <r>
      <t>g</t>
    </r>
    <r>
      <rPr>
        <vertAlign val="subscript"/>
        <sz val="11"/>
        <color theme="1"/>
        <rFont val="Calibri"/>
        <family val="2"/>
        <scheme val="minor"/>
      </rPr>
      <t>P</t>
    </r>
  </si>
  <si>
    <r>
      <t>g</t>
    </r>
    <r>
      <rPr>
        <vertAlign val="subscript"/>
        <sz val="11"/>
        <color theme="1"/>
        <rFont val="Calibri"/>
        <family val="2"/>
        <scheme val="minor"/>
      </rPr>
      <t>S</t>
    </r>
  </si>
  <si>
    <t>Gewichtungsfaktoren</t>
  </si>
  <si>
    <t>Konstanten</t>
  </si>
  <si>
    <t>Berechnung Starkverschmutzerzuschläge</t>
  </si>
  <si>
    <t>Q m3/a</t>
  </si>
  <si>
    <t>GUS kg/a</t>
  </si>
  <si>
    <t>CSB gelöst kg/a</t>
  </si>
  <si>
    <t>N gelöst kg/a</t>
  </si>
  <si>
    <t>P gelöst kg/a</t>
  </si>
  <si>
    <t>gerundet  min. 1</t>
  </si>
  <si>
    <t>Verschmutzungsfaktor</t>
  </si>
  <si>
    <t>Berechnung nach VSA</t>
  </si>
  <si>
    <t>ungefähres Sparpotential, berechnet aus effektivem minus erwartetem Anfall:</t>
  </si>
  <si>
    <t>* mit Starkverschmutzerzuschlag CHF/Jahr</t>
  </si>
  <si>
    <t>Sparpotential Abwasser CHF/Jahr als Starkverschmutzer</t>
  </si>
  <si>
    <t>Total CHF/Jahr mit Starkverschmutzerzuschlag:</t>
  </si>
  <si>
    <t>BSB5 gelöst kg/a</t>
  </si>
  <si>
    <t>Jahresfracht ist</t>
  </si>
  <si>
    <t>soll</t>
  </si>
  <si>
    <t>Verschmutzungsfaktor ist</t>
  </si>
  <si>
    <t>Verschmutzungsfaktor soll</t>
  </si>
  <si>
    <t>CHF/Jahr</t>
  </si>
  <si>
    <t>mit Verschmutzungsfaktor aus org. Belastung *</t>
  </si>
  <si>
    <t>* Bei Starkverschmutzern (hohe Abwassermengen oder hohe Frachten) kann nach den VSA Richtlinien ein Starkverschmutzerzuschlag verrechnet werden. Dieser Zuschlag wird hier abgeschätzt. Dazu werden verschiedene Annahmen über die Abwasserzusammensetzung getroffen, die nicht notwendigerweise der tatsächlichen Zusammensetzung entsprechen. Der erhaltene Wert ist daher nur als Richtgrösse zu verstehen</t>
  </si>
  <si>
    <t>Bei Starkverschmutzern (hohe Abwassermengen oder hohe Frachten) kann nach den VSA Richtlinien ein Starkverschmutzerzuschlag verrechnet werden. Dieser Zuschlag wird hier abgeschätzt. Dazu werden verschiedene Annahmen über die Abwasserzusammensetzung getroffen, die nicht notwendigerweise der tatsächlichen Zusammensetzung entsprechen. Der erhaltene Wert ist daher nur als Richtgrösse zu verstehen</t>
  </si>
  <si>
    <t>Sind  Sensoren installiert, welche die Wasserzufuhr zwischen den Schlachtkörpern  automatisch abstellen</t>
  </si>
  <si>
    <t>Werden die Siebeinsätze der Bodenabläufe vor der Nassreinigung in den Abfall entleert</t>
  </si>
  <si>
    <t>Werden zur Desinfektion Wasserstoffperoxid oder Peressigsäure eingesetzt</t>
  </si>
  <si>
    <t>Wird Abwasser aus den Stallungen und Buchten in die Jauchegrube geführt (landw. Verwertung vorgeschrieben)</t>
  </si>
  <si>
    <t>Kennzahlen für Käsereien</t>
  </si>
  <si>
    <t>Kennzahlen für die Fleischverarbeitung</t>
  </si>
  <si>
    <t>Grobübersicht Abwasser</t>
  </si>
  <si>
    <t>Tragen Sie dazu in die grünen Felder die Anzahl Tiere resp. verarbeitete Fleischmenge ein. Es wird Ihnen der erwartete Abwasseranfall</t>
  </si>
  <si>
    <t>Energie     -&gt;</t>
  </si>
  <si>
    <t xml:space="preserve"> Total Sparpotential CHF</t>
  </si>
  <si>
    <t>eintragen und mit Ihrer Strom-, Gas- ,Heizölrechnung vergleichen.</t>
  </si>
  <si>
    <t>Sparpotential Energie CHF/Jahr</t>
  </si>
  <si>
    <r>
      <t>Sind im Ausblutungsbereich Tropfrinnen angebracht</t>
    </r>
    <r>
      <rPr>
        <sz val="9"/>
        <color theme="1"/>
        <rFont val="Arial"/>
        <family val="2"/>
      </rPr>
      <t xml:space="preserve"> (Ausblutungsdauer 7 Min Rind, Schwein 5-6 Min, Geflügel 90 Sek)</t>
    </r>
  </si>
  <si>
    <t>Wird die Wärme aus Kühlanlagen, Druckluftanlagen und Absenganlagen zurückgewonnen</t>
  </si>
  <si>
    <t>Balken Abwasser</t>
  </si>
  <si>
    <t>Kurzenergiecheck der Energieagentur Nordrhein-Westfalen:</t>
  </si>
  <si>
    <t>Wirtschaftskammer OÖ, Ökologische Betriebsberatung O.Ö. Energiesparverband &amp; WIFI Österreich</t>
  </si>
  <si>
    <t>Energieeffizienz in der Metzgerei</t>
  </si>
  <si>
    <t>Energiesparpotential im Gewerbe</t>
  </si>
  <si>
    <t>Informationen</t>
  </si>
  <si>
    <t>Typischer Energiekostenanteil am Jahresumsatz</t>
  </si>
  <si>
    <t>Unternehmenstyp</t>
  </si>
  <si>
    <t>Energiekosten-anteil am Jahresumsatz</t>
  </si>
  <si>
    <t>hier ihren Jahres- umsatz eintragen</t>
  </si>
  <si>
    <t>Ihre ungefähren Energiekosten</t>
  </si>
  <si>
    <t>Autowerkstatt mit Lackierkabine</t>
  </si>
  <si>
    <t>Autowerkstatt ohene Lackierkabine</t>
  </si>
  <si>
    <t>Bäckereien</t>
  </si>
  <si>
    <t>Druckereien</t>
  </si>
  <si>
    <t>Einzelhandel</t>
  </si>
  <si>
    <t>Friseur</t>
  </si>
  <si>
    <t>Gastronomie</t>
  </si>
  <si>
    <t>Grosshandel</t>
  </si>
  <si>
    <t>Hotels</t>
  </si>
  <si>
    <t>Lebensmittelgeschäfte</t>
  </si>
  <si>
    <t>Metallbau</t>
  </si>
  <si>
    <t>Metzgerei</t>
  </si>
  <si>
    <t>Schreinerei</t>
  </si>
  <si>
    <t>Wäschereien</t>
  </si>
  <si>
    <t>aus: Österreichische Energieagentur/Energieinstitut der Wirtschaft, Sächsische Energieagentur/Technische Universität Chemnitz, Energieagentur NRW</t>
  </si>
  <si>
    <t>Sparpotentiale:</t>
  </si>
  <si>
    <t>aus www.energieeffizienz-im-betrieb.net/energiesparen-unternehmen.html</t>
  </si>
  <si>
    <t>Prozess</t>
  </si>
  <si>
    <t>Sparpotential</t>
  </si>
  <si>
    <t>mögliche Massnahmen</t>
  </si>
  <si>
    <t>bis 70 %</t>
  </si>
  <si>
    <t>Stromsparlampen, LED-Lampen, Bewegungssensoren, Dimmer, Zeituhren, Schaufensterbeleuchtung in der Nacht abschalten</t>
  </si>
  <si>
    <t>Lüftungstechnik</t>
  </si>
  <si>
    <t>bis 25 %</t>
  </si>
  <si>
    <t>Wärmerückgewinnung, Reinigung der Lüftungsanlagen, Drehzahlregelung der Lüftungsmotoren, Reduktion der Druckverluste durch Optimierung der Kanalquerschnitte</t>
  </si>
  <si>
    <t>Pumpen+Motoren</t>
  </si>
  <si>
    <t>bis 30 %</t>
  </si>
  <si>
    <t>Optimierung Förderhöhe Fördermenge, Austausch überdimensionierter Pumpen, Drehzahlregelung</t>
  </si>
  <si>
    <t>Presslufterzeugung</t>
  </si>
  <si>
    <t>bis 50 %</t>
  </si>
  <si>
    <t>Verluste vermeiden durch reglmässige Leckkontrolle, Anpassung des Drucks an den Bedarf, Drehzahlgeregelte Kompressoren, Abwärme-nutzung, Kombination mehrerer Drucklufterzeuger, Zeitschaltuhren</t>
  </si>
  <si>
    <t>Informationstechnologie</t>
  </si>
  <si>
    <t>bis 75 %</t>
  </si>
  <si>
    <t>Vollstänige Netztrennung (kein Standby), Verzicht auf Bildschirmschoner, Monitorabschaltung in Arbeitspausen, Powermanagement aktivieren</t>
  </si>
  <si>
    <t>Reinigungsprozesse</t>
  </si>
  <si>
    <t>Optimierung der Prozesstemperatur, Einsatz von Reinigern für tiefe Temperaturen, Wärmerückgewinnung, Standzeitverlängerung durch Reinigungswasseraufbereitung</t>
  </si>
  <si>
    <t>Prozesswärme (Dampf+Heisswasser)</t>
  </si>
  <si>
    <t>Drehzahlgeregelte Brennermotoren (verhindern unnötiger Abschalt- und Anfahrvorgänge bei Lastschwankungen), Verbesserung Dämmung, Wochenendabsenkung, Brennwertkessel</t>
  </si>
  <si>
    <t>Kälte+Kühlung</t>
  </si>
  <si>
    <t>Verdampfer und Kondensationstemperatur anpassen, Wärmerückgewinnung</t>
  </si>
  <si>
    <t>Kühlräume</t>
  </si>
  <si>
    <t>automatisch schliessende Türen, Wärmequellen wie Motoren, Ladegeräte, Pumpen, Ventilatoren nur ausserhalb der Kühlräume platzieren, Wärmerückgewinnung</t>
  </si>
  <si>
    <t>Das Sparpotenzial in der Wirtschaft wird bei 20 bis 40 Prozent angesetzt. Weitere Informationen siehe auch :</t>
  </si>
  <si>
    <t>www.energieschweiz.ch</t>
  </si>
  <si>
    <t>www.bfe.admin.ch</t>
  </si>
  <si>
    <t>Wassersparpotential im Gewerbe</t>
  </si>
  <si>
    <t>Nebst den Kosten für das Trinkwasser fallen immer auch Gebühren für die Aufbereitung des Abwassers in der kommunalen Kläranlage an. Diese Abwassergebühren sind höher, als der Preis für das Trinkwasser. Mit wenigen einfachen Massnahmen lässt sich der Wasserverbrauch reduzieren. Damit werden gleichzeitig auch Energiekosten gespart (Warmwasserzubereitung).</t>
  </si>
  <si>
    <t>Typischer Wasserverbrauch im Gewerbe</t>
  </si>
  <si>
    <t>Ihr ungefährer Wasserverbrauch und Kosten</t>
  </si>
  <si>
    <t>(Medianwerte)</t>
  </si>
  <si>
    <t>Hier eintragen:</t>
  </si>
  <si>
    <t>ungefährer Wasser-verbrauch</t>
  </si>
  <si>
    <t>Lebensmittelindustrie</t>
  </si>
  <si>
    <r>
      <t>m</t>
    </r>
    <r>
      <rPr>
        <vertAlign val="superscript"/>
        <sz val="9"/>
        <color theme="1"/>
        <rFont val="Arial"/>
        <family val="2"/>
      </rPr>
      <t>3</t>
    </r>
    <r>
      <rPr>
        <sz val="9"/>
        <color theme="1"/>
        <rFont val="Arial"/>
        <family val="2"/>
      </rPr>
      <t>/ha Betriebsareal /h</t>
    </r>
  </si>
  <si>
    <t>Betriebsareal in ha:</t>
  </si>
  <si>
    <t>Bäckerei, Konditorei</t>
  </si>
  <si>
    <t>l/Angestellter /Tag</t>
  </si>
  <si>
    <t>Anzahl Angestellte:</t>
  </si>
  <si>
    <t>Friseursalon</t>
  </si>
  <si>
    <t>Gastwirtschaft</t>
  </si>
  <si>
    <t>L/Gast /Tag</t>
  </si>
  <si>
    <t>Anzahl Gäste/Tag:</t>
  </si>
  <si>
    <t>Handel</t>
  </si>
  <si>
    <r>
      <t>Liter/m</t>
    </r>
    <r>
      <rPr>
        <vertAlign val="superscript"/>
        <sz val="10"/>
        <color theme="1"/>
        <rFont val="Arial"/>
        <family val="2"/>
      </rPr>
      <t>2</t>
    </r>
    <r>
      <rPr>
        <sz val="11"/>
        <color theme="1"/>
        <rFont val="Calibri"/>
        <family val="2"/>
        <scheme val="minor"/>
      </rPr>
      <t xml:space="preserve"> /Tag</t>
    </r>
  </si>
  <si>
    <r>
      <t>Autowaschanlagen</t>
    </r>
    <r>
      <rPr>
        <sz val="9"/>
        <color theme="1"/>
        <rFont val="Arial"/>
        <family val="2"/>
      </rPr>
      <t xml:space="preserve"> </t>
    </r>
    <r>
      <rPr>
        <sz val="8"/>
        <color theme="1"/>
        <rFont val="Arial"/>
        <family val="2"/>
      </rPr>
      <t>(mit Wasserrecycling)</t>
    </r>
  </si>
  <si>
    <t>l/Waschgang</t>
  </si>
  <si>
    <t>Anzahl FZ/Tag:</t>
  </si>
  <si>
    <t>Wäscherei</t>
  </si>
  <si>
    <t>l/kg Trockenwäsche</t>
  </si>
  <si>
    <t>kg Wäsche/Tag:</t>
  </si>
  <si>
    <t>Kaufhaus ohne Restauration</t>
  </si>
  <si>
    <t>l/Gast /Tag</t>
  </si>
  <si>
    <t>Büro, Verwaltung</t>
  </si>
  <si>
    <t>Krankenhäuser</t>
  </si>
  <si>
    <t>l/Bett /Tag</t>
  </si>
  <si>
    <t>Anzahl  Betten:</t>
  </si>
  <si>
    <t>Hallenbäder</t>
  </si>
  <si>
    <t>Kleingewerbe stark verschmutzend</t>
  </si>
  <si>
    <t>Altenheime</t>
  </si>
  <si>
    <t>l/Bewohner /Tag</t>
  </si>
  <si>
    <t>Anzahl Bewohner:</t>
  </si>
  <si>
    <t>aus: Literaturstudie Wasserverbrauch und Wasserbedarf, Lebensmittelministerium Österreich, Nov. 2010</t>
  </si>
  <si>
    <r>
      <rPr>
        <b/>
        <sz val="10"/>
        <color theme="1"/>
        <rFont val="Arial"/>
        <family val="2"/>
      </rPr>
      <t>1m</t>
    </r>
    <r>
      <rPr>
        <b/>
        <vertAlign val="superscript"/>
        <sz val="10"/>
        <color theme="1"/>
        <rFont val="Arial"/>
        <family val="2"/>
      </rPr>
      <t>3</t>
    </r>
    <r>
      <rPr>
        <sz val="11"/>
        <color theme="1"/>
        <rFont val="Calibri"/>
        <family val="2"/>
        <scheme val="minor"/>
      </rPr>
      <t xml:space="preserve"> Wasser kostet (Wasserkosten und Abwassergebühr, ca. CHF 4 /Jahr) </t>
    </r>
  </si>
  <si>
    <t>CHF</t>
  </si>
  <si>
    <t>Bereich</t>
  </si>
  <si>
    <t>Kälteaggregate ohne Wasserkühlung verwenden, Direktkühlung mit Wasser vermeiden</t>
  </si>
  <si>
    <t>Reinigung, Spültechnik</t>
  </si>
  <si>
    <t>trockene Vorreinigung, Reinigungswasser aufbereiten und wiederverwenden, Hochdruckreiniger verwenden, Einhandmischer einbauen, Durchflussbegrenzer</t>
  </si>
  <si>
    <t>WC-Anlagen</t>
  </si>
  <si>
    <t>Klosette und Urinale mit geringem Spülwasserverbrauch einsetzen (2 Tastensysteme, wasserlose Urinale), zum Händewaschen automatische Armaturen einsetzen (Sensor, Zeitsteuerung)</t>
  </si>
  <si>
    <t>Regenwassernutzung</t>
  </si>
  <si>
    <t>Durch Nutzung von Regenwasser kann bis zu 50 % Trinkwasser eingespart werden</t>
  </si>
  <si>
    <t>Körperhygiene</t>
  </si>
  <si>
    <t>Duschen statt Baden, Badewannen mit kleinerem Volumen einbauen, Einhandmischer verwenden, automatische Armaturen einbauen (Sensor, Zeitbegrenzung)</t>
  </si>
  <si>
    <t>Dichtigkeit der Leitungen und Armaturen prüfen (ein tropfender Wasserhahn kann bis zu 15 l Wasser pro Tag verbrauchen), Nennweite der Wasseranschlüsse reduzieren</t>
  </si>
  <si>
    <t>Wäsche</t>
  </si>
  <si>
    <t>Waschautomaten der A Klasse einsetzen, Wasser rezyklieren, Regenwasser nutzen</t>
  </si>
  <si>
    <t>ungefähre Abwasserkosten</t>
  </si>
  <si>
    <t>ungefähres Sparpotential</t>
  </si>
  <si>
    <t>Median</t>
  </si>
  <si>
    <t>Wasserverbauch</t>
  </si>
  <si>
    <t>25%-Wert</t>
  </si>
  <si>
    <t>Wasserverbrauch im Gewerbe</t>
  </si>
  <si>
    <t>Energiekosten je Unternehmen im Branchenvergleich</t>
  </si>
  <si>
    <t>http://www.energieeffizienz-im-betrieb.net/energiekosten-unternehmen.html</t>
  </si>
  <si>
    <t>Studie Wasserverbrauch und Wasserbedarf</t>
  </si>
  <si>
    <t>Lebensministerium.at</t>
  </si>
  <si>
    <t>Die Energiekosten im Gewerbe werden oft unterschätzt. Sie können mehrere Prozent des Umsatzes ausmachen. Mit wenigen einfachen und kostengünstigen Massnahmen können markante Einsparungen erzielt werden.</t>
  </si>
  <si>
    <r>
      <t>Nutzfläche in m</t>
    </r>
    <r>
      <rPr>
        <vertAlign val="superscript"/>
        <sz val="10"/>
        <color theme="1"/>
        <rFont val="Arial"/>
        <family val="2"/>
      </rPr>
      <t>2</t>
    </r>
    <r>
      <rPr>
        <sz val="10"/>
        <color theme="1"/>
        <rFont val="Arial"/>
        <family val="2"/>
      </rPr>
      <t>:</t>
    </r>
  </si>
  <si>
    <t>Übersicht Abwasseranfall</t>
  </si>
  <si>
    <t>CHF / Jahr</t>
  </si>
  <si>
    <r>
      <t>m</t>
    </r>
    <r>
      <rPr>
        <vertAlign val="superscript"/>
        <sz val="11"/>
        <color theme="1"/>
        <rFont val="Arial"/>
        <family val="2"/>
      </rPr>
      <t>3</t>
    </r>
    <r>
      <rPr>
        <sz val="11"/>
        <color theme="1"/>
        <rFont val="Arial"/>
        <family val="2"/>
      </rPr>
      <t>/Jahr</t>
    </r>
  </si>
  <si>
    <r>
      <t>in m</t>
    </r>
    <r>
      <rPr>
        <b/>
        <vertAlign val="superscript"/>
        <sz val="11"/>
        <color theme="1"/>
        <rFont val="Arial"/>
        <family val="2"/>
      </rPr>
      <t>3</t>
    </r>
    <r>
      <rPr>
        <b/>
        <sz val="11"/>
        <color theme="1"/>
        <rFont val="Arial"/>
        <family val="2"/>
      </rPr>
      <t>/Jahr</t>
    </r>
  </si>
  <si>
    <r>
      <t xml:space="preserve">Bierproduktion in </t>
    </r>
    <r>
      <rPr>
        <b/>
        <sz val="11"/>
        <color theme="1"/>
        <rFont val="Arial"/>
        <family val="2"/>
      </rPr>
      <t>m</t>
    </r>
    <r>
      <rPr>
        <b/>
        <vertAlign val="superscript"/>
        <sz val="11"/>
        <color theme="1"/>
        <rFont val="Arial"/>
        <family val="2"/>
      </rPr>
      <t>3</t>
    </r>
    <r>
      <rPr>
        <b/>
        <sz val="11"/>
        <color theme="1"/>
        <rFont val="Arial"/>
        <family val="2"/>
      </rPr>
      <t>/Jahr</t>
    </r>
  </si>
  <si>
    <r>
      <t>Wein in</t>
    </r>
    <r>
      <rPr>
        <b/>
        <sz val="11"/>
        <color theme="1"/>
        <rFont val="Arial"/>
        <family val="2"/>
      </rPr>
      <t xml:space="preserve"> m</t>
    </r>
    <r>
      <rPr>
        <b/>
        <vertAlign val="superscript"/>
        <sz val="11"/>
        <color theme="1"/>
        <rFont val="Arial"/>
        <family val="2"/>
      </rPr>
      <t>3</t>
    </r>
    <r>
      <rPr>
        <b/>
        <sz val="11"/>
        <color theme="1"/>
        <rFont val="Arial"/>
        <family val="2"/>
      </rPr>
      <t>/Jahr</t>
    </r>
  </si>
  <si>
    <r>
      <t xml:space="preserve">Süssgetränke/Mineralwasser in </t>
    </r>
    <r>
      <rPr>
        <b/>
        <sz val="11"/>
        <color theme="1"/>
        <rFont val="Arial"/>
        <family val="2"/>
      </rPr>
      <t>m</t>
    </r>
    <r>
      <rPr>
        <b/>
        <vertAlign val="superscript"/>
        <sz val="11"/>
        <color theme="1"/>
        <rFont val="Arial"/>
        <family val="2"/>
      </rPr>
      <t>3</t>
    </r>
    <r>
      <rPr>
        <b/>
        <sz val="11"/>
        <color theme="1"/>
        <rFont val="Arial"/>
        <family val="2"/>
      </rPr>
      <t>/Jahr</t>
    </r>
  </si>
  <si>
    <t>Abfüllen in Einweggebinde</t>
  </si>
  <si>
    <t>Abfüllen in Mehrweggebinde</t>
  </si>
  <si>
    <t>Spezifische Kennzahlen Lit. 8, 6</t>
  </si>
  <si>
    <t>Lit. 6</t>
  </si>
  <si>
    <t>Hier finden Sie einen Auszug aus den BVT mit weiteren Tipps; doppelklicken:</t>
  </si>
  <si>
    <t>Übersicht Sparpotential Abwasser</t>
  </si>
  <si>
    <t>Hier können Sie Ihren ungefähren Wasserverbrauch und die damit verbundenen Kosten abschätzen. Das mögliche Sparpotential wird angezeigt.</t>
  </si>
  <si>
    <t>Tragen Sie dazu in die pastellgrünen Zellen die entsprechende Angabe ein. Weiter unten finden Sie einige Möglichkeiten den Wasserverbrauch</t>
  </si>
  <si>
    <t>zu reduzieren.</t>
  </si>
  <si>
    <t>Übersicht Sparpotential Energie</t>
  </si>
  <si>
    <t>DWA-M 732</t>
  </si>
  <si>
    <t>Bier (Lit. 16)</t>
  </si>
  <si>
    <t>Lit. 16</t>
  </si>
  <si>
    <r>
      <t>in m</t>
    </r>
    <r>
      <rPr>
        <vertAlign val="superscript"/>
        <sz val="11"/>
        <rFont val="Arial"/>
        <family val="2"/>
      </rPr>
      <t>3</t>
    </r>
    <r>
      <rPr>
        <sz val="11"/>
        <rFont val="Arial"/>
        <family val="2"/>
      </rPr>
      <t>/Jahr</t>
    </r>
  </si>
  <si>
    <t>Energieagentur NRW</t>
  </si>
  <si>
    <t>Strombedarf ca. kWh/l Lit. 17</t>
  </si>
  <si>
    <t>Wärmeenergiebedarf ca. kWh/l Lit. 17</t>
  </si>
  <si>
    <t>MJ/l</t>
  </si>
  <si>
    <t>Europäische Union</t>
  </si>
  <si>
    <t>Green Foods, Zusammenfassung Lebensmittelindustrie</t>
  </si>
  <si>
    <t>http://www.green-foods.eu/wp-content/uploads/2013/05/Factsheet-2-1_DE-27-05-14.pdf</t>
  </si>
  <si>
    <t>Orangensaft elektrische Energie Lit. 18</t>
  </si>
  <si>
    <t>Orangensaft Wärmeenergie Lit 18</t>
  </si>
  <si>
    <r>
      <t>Abwasser m</t>
    </r>
    <r>
      <rPr>
        <b/>
        <vertAlign val="superscript"/>
        <sz val="10"/>
        <color theme="1"/>
        <rFont val="Arial"/>
        <family val="2"/>
      </rPr>
      <t>3</t>
    </r>
    <r>
      <rPr>
        <b/>
        <sz val="10"/>
        <color theme="1"/>
        <rFont val="Arial"/>
        <family val="2"/>
      </rPr>
      <t>/Jahr</t>
    </r>
  </si>
  <si>
    <r>
      <t xml:space="preserve">Produzierte Most-/Fruchtsaftmenge in </t>
    </r>
    <r>
      <rPr>
        <b/>
        <sz val="11"/>
        <color theme="1"/>
        <rFont val="Arial"/>
        <family val="2"/>
      </rPr>
      <t>m</t>
    </r>
    <r>
      <rPr>
        <b/>
        <vertAlign val="superscript"/>
        <sz val="11"/>
        <color theme="1"/>
        <rFont val="Arial"/>
        <family val="2"/>
      </rPr>
      <t>3</t>
    </r>
    <r>
      <rPr>
        <b/>
        <sz val="11"/>
        <color theme="1"/>
        <rFont val="Arial"/>
        <family val="2"/>
      </rPr>
      <t>/Jahr</t>
    </r>
  </si>
  <si>
    <t>Produzierte Menge diverse Getränke in m3/Jahr</t>
  </si>
  <si>
    <t>Frischwasserverbrauch</t>
  </si>
  <si>
    <t>hl/hl</t>
  </si>
  <si>
    <t>Bierproduktion Lit. 8</t>
  </si>
  <si>
    <t>Anfall, Anteile Bierproduktion</t>
  </si>
  <si>
    <t>effektiven Verbrauch eintragen in kWh/Jahr (Wärmeenergie und elektrische*)</t>
  </si>
  <si>
    <t>Energie kWh/Jahr*</t>
  </si>
  <si>
    <t xml:space="preserve">*abgeschätzt mit der Annahme 1/2 Wärmeenergie und 1/2 elektrische Energie </t>
  </si>
  <si>
    <t>Kennzahlen für die Getränkeherstellung</t>
  </si>
  <si>
    <t>Tragen Sie dazu in die grünen Felder die Menge verarbeiteten Rohsaft, resp. die produzierte Getänkemenge ein. Es wird Ihnen</t>
  </si>
  <si>
    <t>der erwartete Abwasseranfall und dessen Belastung angezeigt. Den effektiven Abwasseranfall und eventuell dessen Belastung</t>
  </si>
  <si>
    <t xml:space="preserve"> können Sie aus Ihrer Abwasserrechnung entnehmen und eingeben.</t>
  </si>
  <si>
    <t>Einfach in die grünen Felder die nötigen Angaben</t>
  </si>
  <si>
    <t>https://www.umweltbundesamt.de/themen/wirtschaft-konsum/beste-verfuegbare-techniken/sevilla-prozess/bvt-merkblaetter-durchfuehrungsbeschluesse</t>
  </si>
  <si>
    <t>Energiekennzahlen und Sparpotential in Brauereien</t>
  </si>
  <si>
    <t>Energie Lit. 17,19</t>
  </si>
  <si>
    <t>&gt;500000</t>
  </si>
  <si>
    <t>bis hl/a</t>
  </si>
  <si>
    <t>Lit. 8</t>
  </si>
  <si>
    <t>Abwasseranfall</t>
  </si>
  <si>
    <t>Lit. 6,8</t>
  </si>
  <si>
    <r>
      <t xml:space="preserve">Übersicht Abwasser Brauereien  </t>
    </r>
    <r>
      <rPr>
        <b/>
        <sz val="10"/>
        <color theme="1"/>
        <rFont val="Arial"/>
        <family val="2"/>
      </rPr>
      <t>(ohne Malzherstellung)</t>
    </r>
  </si>
  <si>
    <t>hl/Jahr</t>
  </si>
  <si>
    <t>N Ges.</t>
  </si>
  <si>
    <t>P Ges.</t>
  </si>
  <si>
    <t>N</t>
  </si>
  <si>
    <t>P</t>
  </si>
  <si>
    <t>Kennzahlen Brauereien Lit. 6, 16</t>
  </si>
  <si>
    <t>Verhältnis nach Lit. 6</t>
  </si>
  <si>
    <t>mg/l</t>
  </si>
  <si>
    <t>ist</t>
  </si>
  <si>
    <t>MJ/Jahr *</t>
  </si>
  <si>
    <t>kWh/Jahr *</t>
  </si>
  <si>
    <t>* Energieinhalt Heizöl ca.: 10 kWh/kg, Erdgas 10 kWh/kg, Holz 5 kWh/kg; 1MJ=0.27778 kWh</t>
  </si>
  <si>
    <t>Kennzahlen aus Lit. 7, 8</t>
  </si>
  <si>
    <r>
      <t xml:space="preserve">Mostherstellung </t>
    </r>
    <r>
      <rPr>
        <sz val="10"/>
        <color theme="1"/>
        <rFont val="Arial"/>
        <family val="2"/>
      </rPr>
      <t>(Fruchtsäfte) Lit. 6</t>
    </r>
  </si>
  <si>
    <t>Lit. 6, 8, 16</t>
  </si>
  <si>
    <r>
      <t>Mittlere Kennzahlen</t>
    </r>
    <r>
      <rPr>
        <sz val="10"/>
        <color theme="1"/>
        <rFont val="Arial"/>
        <family val="2"/>
      </rPr>
      <t xml:space="preserve"> Lit. 6, 8</t>
    </r>
  </si>
  <si>
    <t>Lit. 8, 16</t>
  </si>
  <si>
    <r>
      <t>Wird das während der Gärung freigesetzte CO</t>
    </r>
    <r>
      <rPr>
        <vertAlign val="subscript"/>
        <sz val="11"/>
        <color theme="1"/>
        <rFont val="Arial"/>
        <family val="2"/>
      </rPr>
      <t>2</t>
    </r>
    <r>
      <rPr>
        <sz val="11"/>
        <color theme="1"/>
        <rFont val="Arial"/>
        <family val="2"/>
      </rPr>
      <t xml:space="preserve"> Zurückgewonnen (Reduktion bis 2 kg CO</t>
    </r>
    <r>
      <rPr>
        <vertAlign val="subscript"/>
        <sz val="11"/>
        <color theme="1"/>
        <rFont val="Arial"/>
        <family val="2"/>
      </rPr>
      <t>2</t>
    </r>
    <r>
      <rPr>
        <sz val="11"/>
        <color theme="1"/>
        <rFont val="Arial"/>
        <family val="2"/>
      </rPr>
      <t>/hl Bier möglich)</t>
    </r>
  </si>
  <si>
    <t>Kennzahlen für Brauereien</t>
  </si>
  <si>
    <t>Übersicht Abwasser</t>
  </si>
  <si>
    <t>Tragen Sie dazu in das grüne Feld die produzierte Biermenge ein. Es wird Ihnen der erwartete Abwasseranfall</t>
  </si>
  <si>
    <t>Total Sparpotential CHF      -&gt;</t>
  </si>
  <si>
    <t>Übersicht Energiebedarf</t>
  </si>
  <si>
    <t>Einfach mit Ihrer Strom-, Gas- ,Heizölrechnung vergleichen.</t>
  </si>
  <si>
    <t>Übersicht Abwasser   -&gt;</t>
  </si>
  <si>
    <t>Apfelsaft naturrein</t>
  </si>
  <si>
    <t>Apfelsaft</t>
  </si>
  <si>
    <t>Traubensaft</t>
  </si>
  <si>
    <t>Birnensaft</t>
  </si>
  <si>
    <t>Traubenmost</t>
  </si>
  <si>
    <t>Bier</t>
  </si>
  <si>
    <t>Produktionsverluste</t>
  </si>
  <si>
    <t>Lagern, Auslagern, Mischen Filtrieren</t>
  </si>
  <si>
    <t>Most</t>
  </si>
  <si>
    <t>Lagern, Auslagern, Mischen, Filtrieren</t>
  </si>
  <si>
    <t>l/1000l</t>
  </si>
  <si>
    <t>ca.</t>
  </si>
  <si>
    <t>zusätzliche Verluste kg Milch/Jahr:</t>
  </si>
  <si>
    <t>Anteile</t>
  </si>
  <si>
    <t>Süssgetränke</t>
  </si>
  <si>
    <t>Verlust normal</t>
  </si>
  <si>
    <t>Verlust ist</t>
  </si>
  <si>
    <t>Differenz</t>
  </si>
  <si>
    <t>Preis</t>
  </si>
  <si>
    <t>CHF/m3</t>
  </si>
  <si>
    <t>Verluste aus CSB oder BSB5</t>
  </si>
  <si>
    <t>g/l</t>
  </si>
  <si>
    <t>Verlust CHF</t>
  </si>
  <si>
    <t>CSB Getränk</t>
  </si>
  <si>
    <r>
      <t>BSB</t>
    </r>
    <r>
      <rPr>
        <vertAlign val="subscript"/>
        <sz val="11"/>
        <color theme="1"/>
        <rFont val="Arial"/>
        <family val="2"/>
      </rPr>
      <t>5</t>
    </r>
    <r>
      <rPr>
        <sz val="11"/>
        <color theme="1"/>
        <rFont val="Arial"/>
        <family val="2"/>
      </rPr>
      <t xml:space="preserve"> Getränk</t>
    </r>
  </si>
  <si>
    <r>
      <t>Annahme: Alle zusätzliche CSB resp. BSB</t>
    </r>
    <r>
      <rPr>
        <vertAlign val="subscript"/>
        <sz val="11"/>
        <color theme="1"/>
        <rFont val="Arial"/>
        <family val="2"/>
      </rPr>
      <t>5</t>
    </r>
    <r>
      <rPr>
        <sz val="11"/>
        <color theme="1"/>
        <rFont val="Arial"/>
        <family val="2"/>
      </rPr>
      <t>-Fracht entspricht vermeidbaren Verlusten</t>
    </r>
  </si>
  <si>
    <t>Daraus lassen sich die vermeidbaren  Verlustkosten abschätzen:</t>
  </si>
  <si>
    <t>bei CHF 1 /l Getränk resp. CHF 5 / l Wein)</t>
  </si>
  <si>
    <t>Berechnung Starkverschmutzerzuschläge Grobübersicht</t>
  </si>
  <si>
    <t>Berechnung Starkverschmutzerzuschläge Detail</t>
  </si>
  <si>
    <t>Berechnung Starkverschmutzerzuschläge Detailübersicht</t>
  </si>
  <si>
    <t>Sparpotential Verluste CHF/Jahr</t>
  </si>
  <si>
    <t>-&gt; Fragebogen Optimierungspotential</t>
  </si>
  <si>
    <t xml:space="preserve">bei CHF 1 /l Bier </t>
  </si>
  <si>
    <t>Verlustabschätzung:</t>
  </si>
  <si>
    <t>CSB ist</t>
  </si>
  <si>
    <t>CSB soll</t>
  </si>
  <si>
    <t>BSB5 ist</t>
  </si>
  <si>
    <t>BSB5 soll</t>
  </si>
  <si>
    <t>CSB Bier g/l:</t>
  </si>
  <si>
    <t>BSB5 Bier g/l:</t>
  </si>
  <si>
    <t>entsprechend</t>
  </si>
  <si>
    <t>l Bier</t>
  </si>
  <si>
    <t>Verlust</t>
  </si>
  <si>
    <t>CHF/a bei CHF1/l Bier</t>
  </si>
  <si>
    <t>Kennzahlen für diverse Gewerbe</t>
  </si>
  <si>
    <t>Hier können Sie Ihren ungefähren Energieverbrauch und die damit verbundenen Kosten abschätzen. Das mögliche Sparpotential wird angezeigt.</t>
  </si>
  <si>
    <t>Tragen Sie dazu in die pastellgrünen Zellen Ihren Jahresumsatz ein. Weiter unten finden Sie einige Möglichkeiten zur Reduktion des Energieverbrauchs.</t>
  </si>
  <si>
    <t>Herausgeber</t>
  </si>
  <si>
    <t xml:space="preserve"> Übersicht Energie     -&gt;     </t>
  </si>
  <si>
    <t>Bemerkungen</t>
  </si>
  <si>
    <t>Existiert ein Umweltmanagementsystem im Betrieb und ist der Ansatz Cleaner Production integriert</t>
  </si>
  <si>
    <t xml:space="preserve">Bei Cleaner Production werden die Ursachen für Produkteverluste, die Entstehung von Abfall und Emissionen durch eine Aufstellung von Stoff- und Energiebilanzen systematisch analysiert und Verbesserungsmöglichkeiten aufgezeigt. </t>
  </si>
  <si>
    <t>Ökologische Kriterien bei der Herstellung von Produkten zu berücksichtigen, kann sich auf das Image und die Kosten stark auswirken. Z.B die Transportkosten für Rohstoffe oder der Energieverbrauch für die Herstellung eines Produktes oder die Verfügbarkeit (Nachhaltigkeit) eines Rohstoffes sind wichtige Einflussgrössen. Sie können damit Ressourcen und Energie sparen und dies erst noch werbewirksam verwerten.</t>
  </si>
  <si>
    <t>Werden Kennzahlen in den Bereichen Rohstoffverbrauch, Produkteverluste, Verbrauch von Hilfsstoffen, Energieverbrauch, Kosten für die Abfall- und Abwasserentsorgung usw. erfasst und ausgewertet.</t>
  </si>
  <si>
    <t xml:space="preserve">Die Erfassung solcher Kennzahlen sind Voraussetzung für die Optimierung von Produktions- und Reinigungsprozessen. So bedeutet zum Beispiel die Reduktion von Produkteverlusten um 1 % einen zusätzlichen Reingewinn von etwa 1 %, da ja bereits sämtliche Aufwendungen wie Personalkosten, Rohmaterialkosten, Energiekosten etc. in den Produkteverlust hineingesteckt wuden. Zudem sparen Sie sich noch die Entsorgungskosten für den Produkteverlust (z.B. Abwassergebühren). </t>
  </si>
  <si>
    <t xml:space="preserve">Wenn Sie Ihr Unternehmen umwelt-, ertrags-, und zukunftsorientiert führen möchten, müssen Sie über eine breite Informationsbasis verfügen. Ein Umweltcontrollingsystem kann Ihnen nebst ökologischen Sparpotentialen auch ökonomische Perspektiven aufzeigen. So lässt sich Ökologie und Ökonomie gut vereinbaren. Einen guten Leitfaden "Umweltkennzahlen in der Praxis" können Sie beim Deutschen Umweltbundesamt finden: </t>
  </si>
  <si>
    <t>Management</t>
  </si>
  <si>
    <t>Ist bei Ihnen die Ressourcenoptimierung explizit als Führungsaufgabe bezeichnet</t>
  </si>
  <si>
    <t>Wird die Ressourcenoptimierung über alle Betriebseinheiten koordiniert</t>
  </si>
  <si>
    <t>Die Ressourcenoptimierung in einem Bereich kann zu einem erhöhten Verbrauch in anderen Bereichen führen.  So kann beispielsweise die Umstellung von einer Duchlaufkühlung mit Wasser auf ein geschlossenes System den Energieverbrauch erhöhen, wenn die Abwärme der Kühlanlagen nicht zurückgewonnen wird. Die Koordination der Optimierungen ist daher ein wichtiger Aspekt.</t>
  </si>
  <si>
    <t>Werden in den Führungssitzungen (Geschäftsleitungs-, Abteilungsleitungs-, Teamleitungssitzungen das vorhandene Optimierungspotential, die Optimierungs- Erfolge und Misserfolge kommuniziert</t>
  </si>
  <si>
    <t>Werden Ziele für die Ressourcenoptimierung definiert</t>
  </si>
  <si>
    <t>Die Definition von messbaren Zielen führt zu zielgerichteten Massnahmen und erlaubt eine Erfolgskontrolle.</t>
  </si>
  <si>
    <t>Mitarbeitende</t>
  </si>
  <si>
    <t xml:space="preserve"> Gibt es in Ihrem Betrieb ein Vorschlagwesen zur Ressourcenoptimierungen</t>
  </si>
  <si>
    <t>Ein Vorschlagwesen kann auch zu periodisch wiederkehrenden Themen geführt werden. Ein Thema sollte dabei die Ressourcenoptimierung sein. Z.B. Thema des Monats ist:…. Wichtig ist, dass die Mitarbeitenden eine Rückmeldung erhalten.</t>
  </si>
  <si>
    <t>Sind die Abteilungen als "Profitzenter" organisiert</t>
  </si>
  <si>
    <t>Unfälle, Fehlmanipulationen, Anlagenausfälle sind bei Produktionsprozessen unvermeidbar. Oft werden solche Vorfälle von den Mitarbeitenden aus Angst verschwiegen. Dies kann dazu führen, dass z.B. beim Überkochen des Konzentrators bei der Milchkonzentrierung, ein Teil des Produktes im Abwasser landet, die kommunale Kläranlage belastet und zusätzliche Kosten verursacht. Eine gute Fehlerkultur kann dabei helfen. Oft kann der "Ausschuss" noch für andere Zwecke z. B. für die Tierfütterung verwendet werden oder es können andere Produkte daraus hergestellt werden.</t>
  </si>
  <si>
    <t xml:space="preserve">Die Ressourcenoptimierung im Pflichtenheft der Abteilungsleitenden, Produktionsleitenden, Prozessverantwortlichen etc. zu integrieren, führt zu einem bewussten Umgang mit Ressourcen. Optimierungen werden aktiv angegangen und die Optik von der reinen Produktionssoptimierung weg erweitert. </t>
  </si>
  <si>
    <t>Werden Ihre Ihre Mitarbeitenden bezüglich Ressourcenoptimierung geschult</t>
  </si>
  <si>
    <t>Produktions-Abteilungen als "Profitzenter" zu organisieren kann sich lohnen. Wenn die Mitarbeitenden einen Bonus bekommen, wenn sie z.B. die Produkteverluste reduzieren oder den Wasserverbrauch senken, oder keine Fehlchargen produzieren, profitiert nicht nur die Firma, sondern auch die Mitarbeitenden und sie sind entsprechend motiviert.</t>
  </si>
  <si>
    <t>Entsprechen die Produktionsanlagen dem Stand der Technik</t>
  </si>
  <si>
    <t xml:space="preserve">Input / Outputanalysen zeigen Ihnen sofort wo Verluste auftreten. Produkteverluste sind extrem teuer, Sie haben schlimmstenfalls bereits alle Kosten in ein Produkt hineingesteckt, der Verlust ist somit direkt verlorener Reingewinn. </t>
  </si>
  <si>
    <t>Gibt es eine "Fehlerkultur" in Ihrem Betrieb</t>
  </si>
  <si>
    <t>Sind die spezifischen Kennzahlen der Branche bekannt</t>
  </si>
  <si>
    <t>Prozesse</t>
  </si>
  <si>
    <t>Kennen Sie die Kosten Ihrer Hilfsprozesse</t>
  </si>
  <si>
    <t>Wissen Sie wie hoch Ihre Rohstoff- und Produktverluste sind</t>
  </si>
  <si>
    <t>Die Reduktion von Verlusten ist die effizienteste Methode Gewinne zu erhöhen. Z.B. werden in der Schweiz über 3 Milliarden Liter Milch pro Jahr verarbeitet. Dafür werden über 6 Milliarden Liter Wasser benötigt. Etwa 100 Millionen Liter Rohmilch gelangen dabei ins Abwasser. Die Abwassereinigunskosten betragen dafür über 30 Millionen Franken. Der Rohmilch-Verlust beträgt also mehr als 3 %, in Franken also etwa 60 Millionen Franken. Die Verluste könnten heute auf rund 1 % reduziert werden, also nebst den reduzierten Abwassergebühren zusätzlich 40 Millionen eingespart werden.</t>
  </si>
  <si>
    <t>Viele nicht vermeidbare "Abfälle" können für andere Zwecke wiederverwendet werden, sei es für die Herstellung anderer Produkte, für die Tierfütterung oder die Produktion von Biogas.</t>
  </si>
  <si>
    <t>Heute gibt es viele Möglichkeiten sich entsprechendes Wissen abzuholen, sei es via Internetrecherche, Erfahrungsaustausch mit anderen Betrieben oder auch über die BVT-Merkblätter (Beste verfügbare Technik) der EU. Vielleicht bilden Sie auch eine eigene ERFA-Gruppe mit anderen Betrieben?</t>
  </si>
  <si>
    <t>Habe Sie sich schon über alle möglichen Massnahmen zur Reduktion oder Wiederverwertung von Verlusten informiert</t>
  </si>
  <si>
    <t>Sehen Sie sich ab und zu einmal Ihre Kühlräume an</t>
  </si>
  <si>
    <t>Mit einigen einfachen Beobachtungen können Sie in den Kühlräumen viel Energie sparen. Sind z.B. im Kühlraum wärmeerzeugende Pumpen, Motoren, Ventilatoren vorhanden, müssen Sie deren Abwärme ebenfalls runterkühlen. Wenn Sie Eis an den Wänden oder Böden des Kühlraumes finden, stehen die Türen zu lange offen, hier lohnen sich automatisch Türschliesser.</t>
  </si>
  <si>
    <t>Haben Sie sich schon eimal die Wasserarmaturen im Betrieb angesehen</t>
  </si>
  <si>
    <t>Menschen sind bequem. Wenn Sie einen Drehhahn haben, läuft bestimmt öfters Wasser, als wenn ein Hebelhahn vorhanden ist. Meist braucht es auch nicht soviel Wasser, wie die Leitung hergibt, hier lohnt es sich Druchflussbegrenzer einzubauen oder geringere Durchmesser (maximal 3/4 Zoll) für die Wasseranschlüsse zu haben.</t>
  </si>
  <si>
    <t>Haben Sie Ihre Verluste schon mal in monetäre Gewinne umgerechnet</t>
  </si>
  <si>
    <t>Fragen</t>
  </si>
  <si>
    <t>Stoff</t>
  </si>
  <si>
    <t>Stoff auswählen:</t>
  </si>
  <si>
    <t>Stoffmenge eingeben:</t>
  </si>
  <si>
    <t>Liter</t>
  </si>
  <si>
    <t>entspricht:</t>
  </si>
  <si>
    <t>Einwohnerwerten CSB</t>
  </si>
  <si>
    <t>enthält:</t>
  </si>
  <si>
    <t>Gewinnen Sie Ihre Abwärme zurück</t>
  </si>
  <si>
    <t>Nachhaltigkeit</t>
  </si>
  <si>
    <t>Wurde die Prozessdurchgängigkeit optimiert/geprüft</t>
  </si>
  <si>
    <t>Werden ausschliesslich Stoffe ohne bekannte oder vermutete ökologischen Risiken verwendet</t>
  </si>
  <si>
    <t>Auch Sie verwenden diverse Chemikalien wie Reinigungsmittel oder andere Hilfsstoffe in Ihrem Betrieb. Wenn Sie diese sparsam einsetzem und Stoffe einsetzen, die biologisch abbaubar und aus nachwachsenden Rohstoffen hergestellt sind, tun Sie der Umwelt Gutes. So können z.B. viele Desinfektionsmittel mit Wasserstoffperoxid ersetzt werden, welches nur Wasser und Sauerstoff bildet.</t>
  </si>
  <si>
    <t>Veröffentlichen Sie regelmässig einen Nachhaltigkeitsbericht</t>
  </si>
  <si>
    <t>Ist die Nachhaltigkeit ein Bestandteil Ihrer Unternehmensstrategie</t>
  </si>
  <si>
    <t>Für einen reibungsfreien Betrieb werden viele Hilfsprozesse benötigt. Sie müssen Reinigungen an Anlagen und Gebäuden durchführen, eine Lüftungsanlage ist notwendig, Heizung, Beleuchtung auch in den Büroräumen, die IT Anlage benötigt Energie und produziert Abwärme, die Abwasser- und Abfallentsorgung kostet usw. Die Summe dieser Hilfsprozesse kann einen ordentlichen Betrag an Ihren Kosten ausmachen. Meistens werden diese Prozesse untergeordnet behandelt und nicht auf Optimierungspotential untersucht.</t>
  </si>
  <si>
    <t>Rund 80 % der befragten Unternehmen gaben an, dass Nachhaltigkeit ein integraler Bestandteil der Unternehmensstrategie sein muss, um den langfristigen Erfolg sicherzustellen *.</t>
  </si>
  <si>
    <t>* Statista 2014</t>
  </si>
  <si>
    <t>Die meiste grösseren Firmen erstellen unterdessen einen Nachhaltigkeitsbericht. Diese sind erstens werbewirksam und zwingen auch dazu, sich über Nachhaltigkeit Gedanken zu machen und einige Kennzahlen zu erheben. Natürlich trifft man dabei auch auf Optimierungspotential, welches auch finanziell interessant sein kann. 84% der befragten Firmen sind überzeugt, dass sich Nachhaltigkeitsberichte auszahlen**.</t>
  </si>
  <si>
    <t>** Geschäftsberichte-Rating 2013/Erhebung der Universität Zürich</t>
  </si>
  <si>
    <t>Fragebogen Umweltmanagement</t>
  </si>
  <si>
    <t>Optimierung von Pumpen und Verdichtern</t>
  </si>
  <si>
    <t>Bei Pumpen und Verdichtern sind die Betriebskosten viel höher als die Anschaffungskosten. Diese Betriebskosten lassen</t>
  </si>
  <si>
    <t>Die App wird auf einem Smartphone installiert. Sie wählen den Pumpentyp und geben die Typenschilddaten ein.</t>
  </si>
  <si>
    <t>Nun halten Sie während 20 Sekunden das Smartphone an die Lüfterhaube des Motors.</t>
  </si>
  <si>
    <t>Das Analyseergebnis wird auf dem Smartphone dargestellt. Sollte die Pumpe teillastig arbeiten, besteht Optimierungspotential.</t>
  </si>
  <si>
    <t>Mit diesem Rechner können Sie berechnen, was eine bestimmte Menge eines Lebensmittels für eine Abwasserbelastung</t>
  </si>
  <si>
    <t>Mit den heute verfügbaren Techniken können Verluste um etwa 1 % erreicht werden. Haben Sie höhere Verluste, besteht</t>
  </si>
  <si>
    <t>Optimierungspotential.</t>
  </si>
  <si>
    <t>Grundlagedaten:</t>
  </si>
  <si>
    <r>
      <t>BSB</t>
    </r>
    <r>
      <rPr>
        <b/>
        <vertAlign val="subscript"/>
        <sz val="11"/>
        <color theme="1"/>
        <rFont val="Arial"/>
        <family val="2"/>
      </rPr>
      <t>5</t>
    </r>
    <r>
      <rPr>
        <b/>
        <sz val="11"/>
        <color theme="1"/>
        <rFont val="Arial"/>
        <family val="2"/>
      </rPr>
      <t>/CSB-Rechner</t>
    </r>
  </si>
  <si>
    <r>
      <t>Einwohnerwerten BSB</t>
    </r>
    <r>
      <rPr>
        <vertAlign val="subscript"/>
        <sz val="11"/>
        <color theme="1"/>
        <rFont val="Arial"/>
        <family val="2"/>
      </rPr>
      <t>5</t>
    </r>
  </si>
  <si>
    <r>
      <t>BSB</t>
    </r>
    <r>
      <rPr>
        <b/>
        <vertAlign val="subscript"/>
        <sz val="14"/>
        <color theme="1"/>
        <rFont val="Arial"/>
        <family val="2"/>
      </rPr>
      <t>5</t>
    </r>
    <r>
      <rPr>
        <b/>
        <sz val="14"/>
        <color theme="1"/>
        <rFont val="Arial"/>
        <family val="2"/>
      </rPr>
      <t>/CSB Rechner</t>
    </r>
  </si>
  <si>
    <t>Lebensmittels diese verursacht. So können Sie beispielsweise Ihre Rohmaterial- oder Produkteverluste berechnen.</t>
  </si>
  <si>
    <t>Wenn Sie die Fracht im Abwasser kennen, können Sie auch ausrechnen, welche Menge des</t>
  </si>
  <si>
    <t>verursacht. Tragen Sie dazu die entsprechenden Angaben in die grünen Felder ein.</t>
  </si>
  <si>
    <r>
      <t>entweder BSB</t>
    </r>
    <r>
      <rPr>
        <vertAlign val="subscript"/>
        <sz val="11"/>
        <color theme="1"/>
        <rFont val="Arial"/>
        <family val="2"/>
      </rPr>
      <t>5</t>
    </r>
    <r>
      <rPr>
        <sz val="11"/>
        <color theme="1"/>
        <rFont val="Arial"/>
        <family val="2"/>
      </rPr>
      <t xml:space="preserve"> eingeben:</t>
    </r>
  </si>
  <si>
    <r>
      <t>kg BSB</t>
    </r>
    <r>
      <rPr>
        <vertAlign val="subscript"/>
        <sz val="11"/>
        <color theme="1"/>
        <rFont val="Arial"/>
        <family val="2"/>
      </rPr>
      <t>5</t>
    </r>
  </si>
  <si>
    <r>
      <rPr>
        <b/>
        <sz val="10"/>
        <color theme="1"/>
        <rFont val="Arial"/>
        <family val="2"/>
      </rPr>
      <t>CSB</t>
    </r>
    <r>
      <rPr>
        <sz val="10"/>
        <color theme="1"/>
        <rFont val="Arial"/>
        <family val="2"/>
      </rPr>
      <t xml:space="preserve"> bezeichnet den Sauerstoffbedarf um den Stoff chemisch</t>
    </r>
  </si>
  <si>
    <r>
      <t>zu oxidieren. Ist das Verhältnis von CSB/BSB</t>
    </r>
    <r>
      <rPr>
        <vertAlign val="subscript"/>
        <sz val="10"/>
        <color theme="1"/>
        <rFont val="Arial"/>
        <family val="2"/>
      </rPr>
      <t xml:space="preserve">5 </t>
    </r>
    <r>
      <rPr>
        <sz val="10"/>
        <color theme="1"/>
        <rFont val="Arial"/>
        <family val="2"/>
      </rPr>
      <t>grösser als 2, ist der Stoff</t>
    </r>
  </si>
  <si>
    <t>schlecht biologisch abbaubar (je grösser, desto schlechter).</t>
  </si>
  <si>
    <r>
      <rPr>
        <b/>
        <sz val="10"/>
        <color theme="1"/>
        <rFont val="Arial"/>
        <family val="2"/>
      </rPr>
      <t>BSB</t>
    </r>
    <r>
      <rPr>
        <b/>
        <vertAlign val="subscript"/>
        <sz val="10"/>
        <color theme="1"/>
        <rFont val="Arial"/>
        <family val="2"/>
      </rPr>
      <t>5</t>
    </r>
    <r>
      <rPr>
        <sz val="10"/>
        <color theme="1"/>
        <rFont val="Arial"/>
        <family val="2"/>
      </rPr>
      <t xml:space="preserve"> ist ein Mass für die organische Belastung des Abwassers. Er</t>
    </r>
  </si>
  <si>
    <t>bezeichnet die Menge Sauerstoff, die von der biologischen Stufe auf der</t>
  </si>
  <si>
    <t>Käranlage benötigt wird, um den Stoff abzubauen.</t>
  </si>
  <si>
    <r>
      <t>BBS</t>
    </r>
    <r>
      <rPr>
        <b/>
        <vertAlign val="subscript"/>
        <sz val="11"/>
        <rFont val="Arial"/>
        <family val="2"/>
      </rPr>
      <t>5</t>
    </r>
    <r>
      <rPr>
        <b/>
        <sz val="11"/>
        <rFont val="Arial"/>
        <family val="2"/>
      </rPr>
      <t xml:space="preserve"> g/kg</t>
    </r>
  </si>
  <si>
    <t>CSB g/kg</t>
  </si>
  <si>
    <r>
      <t>g BSB</t>
    </r>
    <r>
      <rPr>
        <vertAlign val="subscript"/>
        <sz val="11"/>
        <color theme="1"/>
        <rFont val="Arial"/>
        <family val="2"/>
      </rPr>
      <t>5</t>
    </r>
    <r>
      <rPr>
        <sz val="11"/>
        <color theme="1"/>
        <rFont val="Arial"/>
        <family val="2"/>
      </rPr>
      <t>/kg</t>
    </r>
  </si>
  <si>
    <t>g CSB/kg</t>
  </si>
  <si>
    <t>Es lohnt sich daher, Lecks so schnell wie möglich aufzuspüren und zu schliessen.</t>
  </si>
  <si>
    <t>Druckluft</t>
  </si>
  <si>
    <t>Moderne Kompressoren benötigen zwischen 100 und 120 Wh/Nm3 Luft, damit lassen sich die Stromkosten abschätzen</t>
  </si>
  <si>
    <t>zu etwa 2-3 Rp/Nm3 (abhängig vom Druck). Eine Anlage von 30 kW Leistung verursacht</t>
  </si>
  <si>
    <t>schnell jährliche Energiekosten um etwa CHF 15'000.</t>
  </si>
  <si>
    <t>Erhöhen Sie dazu den Druck im Druckbehälter auf denjenigen, den Sie maximal benötigen und schalten Sie den Kompressor ab.</t>
  </si>
  <si>
    <t>Messen Sie die Zeit, die bis zu einem Druckabfall von 1-2 Bar vergeht und tragen Sie die Werte unten in die grünen Felder ein.</t>
  </si>
  <si>
    <t>Bar</t>
  </si>
  <si>
    <t>Leckverluste:</t>
  </si>
  <si>
    <t>Sekunden</t>
  </si>
  <si>
    <t>Druckbehältervolumen:</t>
  </si>
  <si>
    <t>Anfangsdruck:</t>
  </si>
  <si>
    <t>Enddruck:</t>
  </si>
  <si>
    <t>Messzeit:</t>
  </si>
  <si>
    <t>Druck Bar</t>
  </si>
  <si>
    <t>mm Durchmesser</t>
  </si>
  <si>
    <t>Dies entspricht einem Leck von:</t>
  </si>
  <si>
    <t>a</t>
  </si>
  <si>
    <t>c</t>
  </si>
  <si>
    <t>Liter/Minute</t>
  </si>
  <si>
    <t>Das kostet Sie rund:</t>
  </si>
  <si>
    <t>Koeffizienten für Lochdurchmesser</t>
  </si>
  <si>
    <t>Durchmesser= Leckverlust^2*a+Leckverlust*b+c</t>
  </si>
  <si>
    <t>Hier eintragen: (einfach das Beispiel überschreiben)</t>
  </si>
  <si>
    <t>Die Drucklufterzeugung ist ein teurer Prozess. In der Schweiz verwenden rund 160'000 Industrie- und Gewerbebetriebe Druckluft.</t>
  </si>
  <si>
    <t>Diese Anlagen verbrauchen  rund 1100 GWh/a Strom, etwa 2 % des gesamten Elektrizitätsbedarfs der Schweiz</t>
  </si>
  <si>
    <t xml:space="preserve"> oder etwa CHF 180'000'000/a.</t>
  </si>
  <si>
    <t>Was Sie sonst noch tun können:</t>
  </si>
  <si>
    <t>Es lohnt sich z.B. die Prozesse periodisch auf Optmierungspotential zu überprüfen. Sogar die Bereitstellung von Druckluft kann Sie einiges kosten. Ein Loch von 1 mm Durchmesser in einer Druckluftleitung kostet Sie rund CHF 1000/Jahr, ein Loch von 3 mm schon CHF 9000/Jahr. Ein Rohstofftank, bei dem der Ablauf nich am tiefsten Punkt ist, kostet Sie pro Reinigung den entsprechenden Restinhalt. Die Reinigung von Leitungen nach dem Molchen kann mit Trübungsmessern gesteuert werden, um den Wasserverbrauch zu reduzieren.</t>
  </si>
  <si>
    <t>Die Energiekosten, die etwa 75% der gesamten Druckluftkosten ausmachen, lassen sich um 30 % bis 50 % senken.</t>
  </si>
  <si>
    <t>Prüfen Sie, ob Ihre Anwendung einen tieferen Druck erlaubt. Jedes Bar, um das Sie den Druck senken können, spart viel Geld.</t>
  </si>
  <si>
    <t>http://www.bfe.admin.ch/themen/00507/index.html?lang=de</t>
  </si>
  <si>
    <t>Link zu Energieeffizienz</t>
  </si>
  <si>
    <t>http://www.energieschweiz.ch/de-ch/unternehmen/stromeffizienz/effiziente-druckluft.aspx</t>
  </si>
  <si>
    <t>Link zu Energie Schweiz, effiziente Druckluft</t>
  </si>
  <si>
    <t>Leckagen kosten viel Geld. So kostet ein Leck von 1 mm pro Jahr bis zu CHF 1000 und ein Leck von 3 mm bis zu CHF 9000.</t>
  </si>
  <si>
    <t>Wenn Sie unterschiedliche Verbraucher mit unterschiedlichem Druckniveau haben, lohnt es sich getrennte Druckluftsysteme einzusetzen,</t>
  </si>
  <si>
    <t>resp.  eine Systemanalyse vorzunehmen.</t>
  </si>
  <si>
    <t>Das Luftgeräusch wird über eine gesicherte Verbindung an die KSB-Cloud gesendet und analysiert.</t>
  </si>
  <si>
    <t>Eine App von KSB hilft Ihnen Energie zu sparen. Sie ermöglicht eine schnelle sonografische Analyse, innerhalb von 20</t>
  </si>
  <si>
    <t>Sekunden lässt sich feststellen,  ob eine Pumpe teillastig arbeitet oder nicht.</t>
  </si>
  <si>
    <t>Wird die Produktionsplanung optimiert, so dass möglichst wenig Produktewechsel nötig sind</t>
  </si>
  <si>
    <t>Eine einfache Möglichkeit festzustellen, ob eine Leckage vorhanden ist, ist über eine Messung mittels des Druckbehälters möglich.</t>
  </si>
  <si>
    <t>Sie finden auch einen Fragebogen, wo Sie zu verschiedenen Themen die Situation in Ihrem Betrieb bewerten können.</t>
  </si>
  <si>
    <t>stammen aus der Literatur. Die Zahlen entsprechen den tatsächlich bei einer Vielzahl von Betrieben gemessenen Werten.</t>
  </si>
  <si>
    <t>Wenn Sie Verbesserungsvorschläge haben, Ergänzungen aus Ihrem Erfahrungsbereich oder wenn</t>
  </si>
  <si>
    <t>Dies ist die zweite, aufgrund von Rückmeldungen überarbeitete Fassung des Hilfsmittels.</t>
  </si>
  <si>
    <t>Register:</t>
  </si>
  <si>
    <t>Gewerbe:</t>
  </si>
  <si>
    <t>Tools:</t>
  </si>
  <si>
    <t>Hier finden Sie Tools wie einen CSB/BSB5-Rechner, ein Hilfsmittel für die Kostenberechnung bei Druckluftverlusten und</t>
  </si>
  <si>
    <t>einen Link zur Messung und Optimierung von Pumpen und Verdichtern.</t>
  </si>
  <si>
    <r>
      <t xml:space="preserve">vorhanden ist und welches </t>
    </r>
    <r>
      <rPr>
        <b/>
        <sz val="11"/>
        <color theme="1"/>
        <rFont val="Arial"/>
        <family val="2"/>
      </rPr>
      <t>Sparpotential in CHF besteh</t>
    </r>
    <r>
      <rPr>
        <sz val="11"/>
        <color theme="1"/>
        <rFont val="Arial"/>
        <family val="2"/>
      </rPr>
      <t>t.</t>
    </r>
  </si>
  <si>
    <t>Aufwand:</t>
  </si>
  <si>
    <r>
      <t xml:space="preserve">Um das Tool zu nutzen, benötigen Sie </t>
    </r>
    <r>
      <rPr>
        <b/>
        <sz val="11"/>
        <color theme="1"/>
        <rFont val="Arial"/>
        <family val="2"/>
      </rPr>
      <t>höchstens eine halbe Stunde</t>
    </r>
    <r>
      <rPr>
        <sz val="11"/>
        <color theme="1"/>
        <rFont val="Arial"/>
        <family val="2"/>
      </rPr>
      <t xml:space="preserve">. Die wenigen Zahlen, die Sie brauchen, sind in Ihrem Betrieb </t>
    </r>
  </si>
  <si>
    <t>Glossar:</t>
  </si>
  <si>
    <t>CSB:</t>
  </si>
  <si>
    <t>um die organischen Stoffe im Abwasser abzubauen. Bei den Kommunalen</t>
  </si>
  <si>
    <t>Industriebetriebe mit grösserem Abwasseranfall oder höheren CSB-</t>
  </si>
  <si>
    <t xml:space="preserve">bezahlen. </t>
  </si>
  <si>
    <t>BSB5:</t>
  </si>
  <si>
    <t>Ist der biologische Sauerstoffbedarf, also die Sauerstoffmengen, die die Biologie</t>
  </si>
  <si>
    <t>Quotient CSB/BSB5:</t>
  </si>
  <si>
    <t xml:space="preserve">Kläranlagen (ARA) wird damit die Belastung des Abwassers beurteilt. </t>
  </si>
  <si>
    <t>in der ARA benötigt, um die Inhaltsstoffe des Abwasser abzubauen.</t>
  </si>
  <si>
    <t>der ARA abbaubar sind. Ein Wert von etwa 2 bezeichnet ein gut abbaubares Abwasser.</t>
  </si>
  <si>
    <t xml:space="preserve">Mit dem BSB/CSB-Rechner im Register Tools, können Sie berechnen, was </t>
  </si>
  <si>
    <t>für Abwasserbelastungen die Produkteverluste erzeugen. So entsprechen</t>
  </si>
  <si>
    <t>10 kg Vollmilch fast der Belastung die 30 Einwohner erzeugen.</t>
  </si>
  <si>
    <t>Mit dem BSB/CSB-Rechner können Sie umgekehrt auch berechnen, was für</t>
  </si>
  <si>
    <t>Produkteverluste ins Abwasser Sie haben, wenn Sie die Abwasserbelastung kennen.</t>
  </si>
  <si>
    <t>Dieser Quotient ist ein grobes Mass dafür, wie gut die Abwasserinhaltstoffe in</t>
  </si>
  <si>
    <t>entspricht dies einem Verlust von über 800 l Bier am Tag.</t>
  </si>
  <si>
    <t>Abwassergebühr:</t>
  </si>
  <si>
    <t>Bei grösseren Betrieben finden Sie in ihrer Abwasserrechnung auch Angaben über die CSB</t>
  </si>
  <si>
    <t>resp. BSB5-Belastung des Abwassers. Den CSB-Gehalt können Sie auch für wenig Geld</t>
  </si>
  <si>
    <t>untersuchen lassen oder selber analysieren.</t>
  </si>
  <si>
    <t>Der chemische Sauerstoffbedarf CSB ist ein Mass für den Sauerstoffverbrauch</t>
  </si>
  <si>
    <t>wahrscheinlich bereits vorhanden. Sie müssen daher keine zusätzlichen Erhebungen durchführen.</t>
  </si>
  <si>
    <t>um Faktor 10 und noch viel mehr höher sein.</t>
  </si>
  <si>
    <t>Starkverschmutzer-zuschlag:</t>
  </si>
  <si>
    <t xml:space="preserve">In der VSA-Richtlinie über die Finanzierung der Abwasserentsorgung behandelt der Anhang B </t>
  </si>
  <si>
    <t>die Berechnung von Zuschlagfaktoren für Industrie- und Gewerbebetriebe mit grösseren Abwasserfrachten.</t>
  </si>
  <si>
    <t>Entsprechend verursachen sie auch höhere Kosten als ein Einwohner.</t>
  </si>
  <si>
    <t>Die meisten Abwasserverbände verwenden dieses Modell für die Berechnung der Abwassergebühren</t>
  </si>
  <si>
    <t>für entsprechende Betriebe. Falls dies bei Ihnen der Fall ist, hat dies natürlich auch Auswirkungen</t>
  </si>
  <si>
    <t>auf das Sparpotential. Dies wird bei der Berechnung der Sparpotentiale berücksichtigt.</t>
  </si>
  <si>
    <r>
      <t xml:space="preserve">In den verschiedenen Arbeitsblättern finden Sie Tabellen, wo Sie in die </t>
    </r>
    <r>
      <rPr>
        <b/>
        <sz val="11"/>
        <color theme="1"/>
        <rFont val="Arial"/>
        <family val="2"/>
      </rPr>
      <t>grünen Felder</t>
    </r>
    <r>
      <rPr>
        <sz val="11"/>
        <color theme="1"/>
        <rFont val="Arial"/>
        <family val="2"/>
      </rPr>
      <t xml:space="preserve"> Ihre typischen Produktionszahlen eintragen können.</t>
    </r>
  </si>
  <si>
    <t>Die Tabellen betreffen die Themen Abwasser und Energieverbrauch.</t>
  </si>
  <si>
    <t xml:space="preserve">In der Tabelle Summe der Sparpotentiale wird Ihnen dann das mögliche Potential in CHF pro Jahr angezeigt. </t>
  </si>
  <si>
    <t>Die verwendeten Kennzahlen finden Sie jeweils ganz Rechts im entsprechenden Register, inkl. der Quellenangabe.</t>
  </si>
  <si>
    <t>direkt kostenwirksam sind. Sie können damit viel Geld sparen, es lohnt sich!</t>
  </si>
  <si>
    <t>Denken Sie daran, dass die Einsparung von Ressourcen, die Reduktion der Abwasserbelastung und des Energieverbrauchs</t>
  </si>
  <si>
    <t>sich bei ungeregelten Asynchronmotoren um 10% bis zu 60 % senken, wenn die Pumpen im optimalen Bereich arbeiten.</t>
  </si>
  <si>
    <t>Die Traktandierung der Ressourcenoptimierung und die Kommunikation der Potentiale, Erfolge und Misserfolge sind ein wichtiger Motivationsfaktor und zeigen auch, dass den Führungsstufen die Ressourcenoptimierung wichtig ist.</t>
  </si>
  <si>
    <t>Viele ältere Anlagen entsprechen nicht mehr dem Stand der Technik. So gibt es immer noch alte Verdampfer, die mit einer Direktkühlung mit Wasser versehen sind. Dies führt zu grossen Abwassermengen, die Sie teuer bezahlen. Zudem kann die Abwärme nicht zurückgewonnen werden, was nochmals Energie kostet. Wenn Sie solche alte Anlagen durch solche mit Brüdenkondensatoren mit Külwasserkreislauf ersetzten, sparen Sie Abwasser und Wärmeenergie.</t>
  </si>
  <si>
    <t>Wenn Sie diese Kennzahlen zur Verügung haben, ist es einfach die wasser- und energieintensiven Prozesse zu eruieren. Optimierungsmassnahmen lohnen sich hier natürlich am meisten.</t>
  </si>
  <si>
    <t>Mit diesen Kennzahlen können Sie ein Benchmarking durchführen und sehen dabei sofort, wo Sie sparen können. In den folgenden Registern dieses Excel-Sheets finden Sie eine Zusammenstellung solcher grober Kennzahlen.</t>
  </si>
  <si>
    <t>Wenn Sie mal grob zusammenrechnen, was Sie die Verluste an Rohmaterial, Produkten, Energie, Wasser etc. kosten, könnten Sie Überraschungen erleben. In den folgenden Registern finden Sie für einige Produktionszweige und Branchen grobe Abschätzungen dazu. Denken Sie auch daran, dass vermeidbare Verluste direkt entgangener Reingewinn sind.</t>
  </si>
  <si>
    <t>Je höher der Wert ist, desto schlechter sind die Abwasserinhaltsstoffe abbaubar.</t>
  </si>
  <si>
    <t>einfach die Zahlen mit Ihrer Strom-, Gas- ,Heizölrechnung vergleichen.</t>
  </si>
  <si>
    <t>erwarteter Verbrauch /Jahr (Schlachtung und Verarbeitung):</t>
  </si>
  <si>
    <t>Achtung: Für den Energiebedarf in Fleischverarbeitungsbetrieben sind praktisch</t>
  </si>
  <si>
    <t>keine detaillierten Daten vorhanden. Die Angaben hier beinhalten die Schlachtung</t>
  </si>
  <si>
    <t>und Verarbeitung, könen aber je nach Verarbeitungsart abweichen.</t>
  </si>
  <si>
    <t>Energie total aus Lit. 11+3</t>
  </si>
  <si>
    <t>ungefähre Energiekosten</t>
  </si>
  <si>
    <r>
      <rPr>
        <b/>
        <sz val="11"/>
        <color theme="1"/>
        <rFont val="Arial"/>
        <family val="2"/>
      </rPr>
      <t>ode</t>
    </r>
    <r>
      <rPr>
        <sz val="11"/>
        <color theme="1"/>
        <rFont val="Arial"/>
        <family val="2"/>
      </rPr>
      <t>r CSB eingeben:</t>
    </r>
  </si>
  <si>
    <t>http://publica.fraunhofer.de/documents/N-10118.html</t>
  </si>
  <si>
    <t>https://www.lfu.bayern.de/energie/co2_minderung/doc/endbericht_molkerei.pdf</t>
  </si>
  <si>
    <t>https://www.klimafonds.gv.at/assets/Uploads/Studien/08053KMU-Branchenkennwerte-Endbericht2QklimafondsJuli2011.pdf</t>
  </si>
  <si>
    <t>https://www.ffe.de/download/langberichte/Kennzahlen.pdf</t>
  </si>
  <si>
    <t>https://www.proklima-hannover.de/downloads/Unternehmen/Gewerbebroschueren/GewerbeInfos_Fleischerhandwerk.pdf</t>
  </si>
  <si>
    <t>http://www.energieagentur.nrw/</t>
  </si>
  <si>
    <t>Solche Betriebe führen den kommunalen Kläranlagen grössere Frachten zu, als dies die Einwohner tun.</t>
  </si>
  <si>
    <t>kWh / Jahr</t>
  </si>
  <si>
    <t>Kühlung:</t>
  </si>
  <si>
    <t>Geräte:</t>
  </si>
  <si>
    <t>Pumpen:</t>
  </si>
  <si>
    <t>Pressluft:</t>
  </si>
  <si>
    <t>Beleuchtung:</t>
  </si>
  <si>
    <t>Lüftung:</t>
  </si>
  <si>
    <t>Anderes:</t>
  </si>
  <si>
    <t>am el. Energieverbrauch CHF / Jahr</t>
  </si>
  <si>
    <t>Ihre ungefähren Kostenanteile</t>
  </si>
  <si>
    <t>Stand: 17.06.2016</t>
  </si>
  <si>
    <t>Dieses Tool wird laufend verbessert und ergänzt. Nutzen Sie jeweils die aktuelle Version auf unserer Homepage.</t>
  </si>
  <si>
    <t>Werden die Produktionsprozesse aufeinander abgestimmt, entfallen viele Zwischenschritte wie  z.B. Zwischenlagerung in Tanks, die dann wieder gereinigt werden müssen, Umpumpen, was zusätzliche Energie benötigt usw. Hier können Kosten eingespart werden und nebenbei erreichen Sie noch Positives für die Umwelt.</t>
  </si>
  <si>
    <t xml:space="preserve">Bei vielen Hilfsprozessen fällt Abwärme an. Diese zurückzugewinnen kann sich lohnen. Denken Sie dabei auch an nicht unbedingt naheliegende Prozesse wie z.B. die Drucklufterzeugung. Gerade die Drucklufterzeugung ist ein teurer Prozess. In der Schweiz entfällt 2 % des gesamten Stromverbrauchs auf die Drucklufterzeugung. Energieeinsparungen von 30 %  bis 50 % sind ohne grossen Aufwand realisierbar. </t>
  </si>
  <si>
    <t>Die Mitarbeitenden an den Anlagen kennen die Prozesse am besten, befassen sich aber meist nicht mit der Ressourcenoptimierung. Wenn Sie Ihre Mitarbeitenden sensibilisieren und motivieren, können sehr gute und meist auch kostengünstige Verbesserungsmassnahmen realisiert werden.</t>
  </si>
  <si>
    <t>Typischerweise entstehen vor dem Feierabend oder Schichtwechsel viele stark belastete Abwässer oder viele Abfälle. Dies kommt daher, dass die Mitarbeitenden pünktlich in den Feierabend wollen. Stehen kurz davor noch Arbeiten an, werden diese schnell und unsorgfältig erledigt. Z.B. werden Behälter vor dem Waschen nicht vollständig geleert, Produktereste werden einfach weggespült, feste Abfälle auf dem Boden statt zusammengekehrt einfach abgespült usw. Den Mitarbeitenden für die Schlussarbeiten vor dem Feierabend genügend Zeit einzuräumen, lohnt sich auch finanziell.</t>
  </si>
  <si>
    <t>Vermeiden Sie den "Feierabendeffekt"</t>
  </si>
  <si>
    <t>Abwassermengen und- Frachten sind. Ebenso werden die zu erwartenden Energieverbräuche angezeigt.</t>
  </si>
  <si>
    <t>Hier finden Sie eine Übersicht zum Wasser- und Energiverbrauch in einigen ausgewählten Gewerben.</t>
  </si>
  <si>
    <t>Frachten müssen mit der Abwassergebühr einen Starkverschmutzerzuschlag</t>
  </si>
  <si>
    <t>Wenn Sie z.B. 100 m3 Abwasser pro Tag, mit einem CSB von 1000 mg/l haben,</t>
  </si>
  <si>
    <r>
      <t>Abwasserkosten CHF/m</t>
    </r>
    <r>
      <rPr>
        <vertAlign val="superscript"/>
        <sz val="10"/>
        <rFont val="Arial"/>
        <family val="2"/>
      </rPr>
      <t>3</t>
    </r>
  </si>
  <si>
    <t>Doppelklicken:</t>
  </si>
  <si>
    <t>Einteilung Käse</t>
  </si>
  <si>
    <t>Appenzeller Käse, Vacherin Fribourgeois, Tête de Moine, Raclette.</t>
  </si>
  <si>
    <r>
      <rPr>
        <b/>
        <sz val="11"/>
        <color theme="1"/>
        <rFont val="Arial"/>
        <family val="2"/>
      </rPr>
      <t>Frischkäse:</t>
    </r>
    <r>
      <rPr>
        <sz val="11"/>
        <color theme="1"/>
        <rFont val="Arial"/>
        <family val="2"/>
      </rPr>
      <t xml:space="preserve"> ohne Reifezeit gewöhnlich aus pasteurisierter Milch wie Quark, Mozzarella, Hüttenkäse.</t>
    </r>
  </si>
  <si>
    <r>
      <rPr>
        <b/>
        <sz val="11"/>
        <color theme="1"/>
        <rFont val="Arial"/>
        <family val="2"/>
      </rPr>
      <t>Weichkäse:</t>
    </r>
    <r>
      <rPr>
        <sz val="11"/>
        <color theme="1"/>
        <rFont val="Arial"/>
        <family val="2"/>
      </rPr>
      <t xml:space="preserve"> Reifezeit einige Wochen – gewöhnlich aus pasteurisierter Milch wie Brie, Tomme.</t>
    </r>
  </si>
  <si>
    <r>
      <rPr>
        <b/>
        <sz val="11"/>
        <color theme="1"/>
        <rFont val="Arial"/>
        <family val="2"/>
      </rPr>
      <t>Halbhartkäse:</t>
    </r>
    <r>
      <rPr>
        <sz val="11"/>
        <color theme="1"/>
        <rFont val="Arial"/>
        <family val="2"/>
      </rPr>
      <t xml:space="preserve"> Reifezeit einige Monate- aus Rohmilch oder aus pasteurisierter Milch, wie</t>
    </r>
  </si>
  <si>
    <r>
      <rPr>
        <b/>
        <sz val="11"/>
        <color theme="1"/>
        <rFont val="Arial"/>
        <family val="2"/>
      </rPr>
      <t>Hartkäse:</t>
    </r>
    <r>
      <rPr>
        <sz val="11"/>
        <color theme="1"/>
        <rFont val="Arial"/>
        <family val="2"/>
      </rPr>
      <t xml:space="preserve"> Reifezeit einige Monate bis eineinhalb Jahre   aus Rohmilch, wie Emmentaler, Gruyere.</t>
    </r>
  </si>
  <si>
    <r>
      <rPr>
        <b/>
        <sz val="11"/>
        <color theme="1"/>
        <rFont val="Arial"/>
        <family val="2"/>
      </rPr>
      <t>Extrahartkäse:</t>
    </r>
    <r>
      <rPr>
        <sz val="11"/>
        <color theme="1"/>
        <rFont val="Arial"/>
        <family val="2"/>
      </rPr>
      <t xml:space="preserve"> Reifezeit mehrere Jahre – aus Rohmilch, wie Sbrinz, Hobelkäse.</t>
    </r>
  </si>
  <si>
    <t>Kondensmilch *</t>
  </si>
  <si>
    <t>Magermilchpulver *</t>
  </si>
  <si>
    <t>Vollmilchpulver *</t>
  </si>
  <si>
    <t>* aus Lit. 4</t>
  </si>
  <si>
    <t>lukas.grauwiler@lu.ch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</si>
</sst>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
    <numFmt numFmtId="165" formatCode="#,##0.0"/>
    <numFmt numFmtId="166" formatCode="0.000"/>
    <numFmt numFmtId="167" formatCode="0.0000"/>
    <numFmt numFmtId="168" formatCode="0.0%"/>
  </numFmts>
  <fonts count="77" x14ac:knownFonts="1">
    <font>
      <sz val="11"/>
      <color theme="1"/>
      <name val="Calibri"/>
      <family val="2"/>
      <scheme val="minor"/>
    </font>
    <font>
      <sz val="11"/>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Arial"/>
      <family val="2"/>
    </font>
    <font>
      <b/>
      <sz val="11"/>
      <color theme="1"/>
      <name val="Arial"/>
      <family val="2"/>
    </font>
    <font>
      <b/>
      <sz val="11"/>
      <color theme="1"/>
      <name val="Calibri"/>
      <family val="2"/>
      <scheme val="minor"/>
    </font>
    <font>
      <sz val="11"/>
      <name val="Calibri"/>
      <family val="2"/>
      <scheme val="minor"/>
    </font>
    <font>
      <sz val="10"/>
      <color theme="1"/>
      <name val="Arial"/>
      <family val="2"/>
    </font>
    <font>
      <b/>
      <sz val="10"/>
      <color theme="1"/>
      <name val="Arial"/>
      <family val="2"/>
    </font>
    <font>
      <sz val="11"/>
      <name val="Arial"/>
      <family val="2"/>
    </font>
    <font>
      <sz val="9"/>
      <color theme="1"/>
      <name val="Arial"/>
      <family val="2"/>
    </font>
    <font>
      <vertAlign val="superscript"/>
      <sz val="11"/>
      <color theme="1"/>
      <name val="Arial"/>
      <family val="2"/>
    </font>
    <font>
      <sz val="8"/>
      <color theme="1"/>
      <name val="Arial"/>
      <family val="2"/>
    </font>
    <font>
      <sz val="11"/>
      <color theme="0" tint="-0.14999847407452621"/>
      <name val="Arial"/>
      <family val="2"/>
    </font>
    <font>
      <sz val="10"/>
      <name val="Arial"/>
      <family val="2"/>
    </font>
    <font>
      <b/>
      <vertAlign val="subscript"/>
      <sz val="11"/>
      <color theme="1"/>
      <name val="Arial"/>
      <family val="2"/>
    </font>
    <font>
      <b/>
      <vertAlign val="superscript"/>
      <sz val="11"/>
      <color theme="1"/>
      <name val="Arial"/>
      <family val="2"/>
    </font>
    <font>
      <b/>
      <vertAlign val="superscript"/>
      <sz val="10"/>
      <color theme="1"/>
      <name val="Arial"/>
      <family val="2"/>
    </font>
    <font>
      <sz val="11"/>
      <color rgb="FF4B4949"/>
      <name val="Arial"/>
      <family val="2"/>
    </font>
    <font>
      <u/>
      <sz val="11"/>
      <color theme="10"/>
      <name val="Calibri"/>
      <family val="2"/>
      <scheme val="minor"/>
    </font>
    <font>
      <b/>
      <sz val="12"/>
      <color theme="1"/>
      <name val="Arial"/>
      <family val="2"/>
    </font>
    <font>
      <b/>
      <sz val="12"/>
      <color theme="1"/>
      <name val="Calibri"/>
      <family val="2"/>
      <scheme val="minor"/>
    </font>
    <font>
      <b/>
      <sz val="14"/>
      <color theme="1"/>
      <name val="Arial"/>
      <family val="2"/>
    </font>
    <font>
      <b/>
      <sz val="10"/>
      <color theme="0" tint="-0.14999847407452621"/>
      <name val="Arial"/>
      <family val="2"/>
    </font>
    <font>
      <b/>
      <sz val="11"/>
      <name val="Calibri"/>
      <family val="2"/>
      <scheme val="minor"/>
    </font>
    <font>
      <sz val="10"/>
      <name val="Calibri"/>
      <family val="2"/>
      <scheme val="minor"/>
    </font>
    <font>
      <b/>
      <sz val="8"/>
      <color theme="1"/>
      <name val="Arial"/>
      <family val="2"/>
    </font>
    <font>
      <sz val="10"/>
      <color theme="0" tint="-0.14999847407452621"/>
      <name val="Arial"/>
      <family val="2"/>
    </font>
    <font>
      <b/>
      <sz val="11"/>
      <name val="Arial"/>
      <family val="2"/>
    </font>
    <font>
      <u/>
      <sz val="11"/>
      <color theme="10"/>
      <name val="Arial"/>
      <family val="2"/>
    </font>
    <font>
      <vertAlign val="subscript"/>
      <sz val="11"/>
      <color theme="1"/>
      <name val="Arial"/>
      <family val="2"/>
    </font>
    <font>
      <sz val="14"/>
      <color theme="1"/>
      <name val="Arial"/>
      <family val="2"/>
    </font>
    <font>
      <vertAlign val="superscript"/>
      <sz val="11"/>
      <name val="Arial"/>
      <family val="2"/>
    </font>
    <font>
      <sz val="11"/>
      <color rgb="FF000000"/>
      <name val="Arial"/>
      <family val="2"/>
    </font>
    <font>
      <b/>
      <u/>
      <sz val="11"/>
      <color theme="1"/>
      <name val="Arial"/>
      <family val="2"/>
    </font>
    <font>
      <vertAlign val="subscript"/>
      <sz val="11"/>
      <name val="Arial"/>
      <family val="2"/>
    </font>
    <font>
      <sz val="9"/>
      <name val="Arial"/>
      <family val="2"/>
    </font>
    <font>
      <sz val="8"/>
      <name val="Arial"/>
      <family val="2"/>
    </font>
    <font>
      <b/>
      <sz val="10"/>
      <name val="Arial"/>
      <family val="2"/>
    </font>
    <font>
      <b/>
      <sz val="9"/>
      <name val="Arial"/>
      <family val="2"/>
    </font>
    <font>
      <b/>
      <sz val="14"/>
      <name val="Arial"/>
      <family val="2"/>
    </font>
    <font>
      <b/>
      <vertAlign val="subscript"/>
      <sz val="11"/>
      <name val="Arial"/>
      <family val="2"/>
    </font>
    <font>
      <b/>
      <vertAlign val="superscript"/>
      <sz val="10"/>
      <name val="Arial"/>
      <family val="2"/>
    </font>
    <font>
      <b/>
      <vertAlign val="subscript"/>
      <sz val="10"/>
      <name val="Arial"/>
      <family val="2"/>
    </font>
    <font>
      <b/>
      <sz val="16"/>
      <name val="Arial"/>
      <family val="2"/>
    </font>
    <font>
      <b/>
      <sz val="14"/>
      <name val="Calibri"/>
      <family val="2"/>
      <scheme val="minor"/>
    </font>
    <font>
      <b/>
      <sz val="12"/>
      <name val="Arial"/>
      <family val="2"/>
    </font>
    <font>
      <b/>
      <sz val="12"/>
      <name val="Calibri"/>
      <family val="2"/>
      <scheme val="minor"/>
    </font>
    <font>
      <u/>
      <sz val="10"/>
      <name val="Calibri"/>
      <family val="2"/>
      <scheme val="minor"/>
    </font>
    <font>
      <sz val="11"/>
      <color theme="5" tint="0.59999389629810485"/>
      <name val="Arial"/>
      <family val="2"/>
    </font>
    <font>
      <b/>
      <sz val="20"/>
      <name val="Arial"/>
      <family val="2"/>
    </font>
    <font>
      <sz val="12"/>
      <name val="Arial"/>
      <family val="2"/>
    </font>
    <font>
      <b/>
      <vertAlign val="superscript"/>
      <sz val="11"/>
      <name val="Arial"/>
      <family val="2"/>
    </font>
    <font>
      <b/>
      <sz val="14"/>
      <color theme="1"/>
      <name val="Calibri"/>
      <family val="2"/>
      <scheme val="minor"/>
    </font>
    <font>
      <sz val="10"/>
      <color rgb="FF000000"/>
      <name val="Calibri"/>
      <family val="2"/>
      <scheme val="minor"/>
    </font>
    <font>
      <b/>
      <sz val="11"/>
      <color theme="4" tint="0.79998168889431442"/>
      <name val="Arial"/>
      <family val="2"/>
    </font>
    <font>
      <b/>
      <sz val="11"/>
      <color theme="9" tint="0.59999389629810485"/>
      <name val="Arial"/>
      <family val="2"/>
    </font>
    <font>
      <u/>
      <sz val="10"/>
      <color theme="10"/>
      <name val="Calibri"/>
      <family val="2"/>
      <scheme val="minor"/>
    </font>
    <font>
      <vertAlign val="subscript"/>
      <sz val="11"/>
      <color theme="1"/>
      <name val="Calibri"/>
      <family val="2"/>
      <scheme val="minor"/>
    </font>
    <font>
      <sz val="9"/>
      <color rgb="FF555555"/>
      <name val="Arial"/>
      <family val="2"/>
    </font>
    <font>
      <sz val="11"/>
      <color theme="3" tint="0.59999389629810485"/>
      <name val="Arial"/>
      <family val="2"/>
    </font>
    <font>
      <vertAlign val="superscript"/>
      <sz val="9"/>
      <color theme="1"/>
      <name val="Arial"/>
      <family val="2"/>
    </font>
    <font>
      <vertAlign val="superscript"/>
      <sz val="10"/>
      <color theme="1"/>
      <name val="Arial"/>
      <family val="2"/>
    </font>
    <font>
      <sz val="16"/>
      <color rgb="FFFF0000"/>
      <name val="Arial"/>
      <family val="2"/>
    </font>
    <font>
      <sz val="9"/>
      <color theme="1"/>
      <name val="Calibri"/>
      <family val="2"/>
      <scheme val="minor"/>
    </font>
    <font>
      <sz val="1"/>
      <color theme="1"/>
      <name val="Calibri"/>
      <family val="2"/>
      <scheme val="minor"/>
    </font>
    <font>
      <b/>
      <vertAlign val="subscript"/>
      <sz val="14"/>
      <color theme="1"/>
      <name val="Arial"/>
      <family val="2"/>
    </font>
    <font>
      <b/>
      <vertAlign val="subscript"/>
      <sz val="10"/>
      <color theme="1"/>
      <name val="Arial"/>
      <family val="2"/>
    </font>
    <font>
      <vertAlign val="subscript"/>
      <sz val="10"/>
      <color theme="1"/>
      <name val="Arial"/>
      <family val="2"/>
    </font>
    <font>
      <sz val="11"/>
      <color theme="8" tint="0.59999389629810485"/>
      <name val="Arial"/>
      <family val="2"/>
    </font>
    <font>
      <vertAlign val="superscript"/>
      <sz val="10"/>
      <name val="Arial"/>
      <family val="2"/>
    </font>
    <font>
      <u/>
      <sz val="11"/>
      <color rgb="FF0000FF"/>
      <name val="Calibri"/>
      <family val="2"/>
      <scheme val="minor"/>
    </font>
  </fonts>
  <fills count="24">
    <fill>
      <patternFill patternType="none"/>
    </fill>
    <fill>
      <patternFill patternType="gray125"/>
    </fill>
    <fill>
      <patternFill patternType="solid">
        <fgColor theme="0" tint="-0.14999847407452621"/>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theme="8" tint="0.39997558519241921"/>
        <bgColor indexed="64"/>
      </patternFill>
    </fill>
    <fill>
      <patternFill patternType="solid">
        <fgColor rgb="FFFFFF00"/>
        <bgColor indexed="64"/>
      </patternFill>
    </fill>
    <fill>
      <patternFill patternType="solid">
        <fgColor theme="4" tint="0.59999389629810485"/>
        <bgColor indexed="64"/>
      </patternFill>
    </fill>
    <fill>
      <gradientFill>
        <stop position="0">
          <color theme="0"/>
        </stop>
        <stop position="1">
          <color rgb="FF92D050"/>
        </stop>
      </gradientFill>
    </fill>
    <fill>
      <gradientFill degree="180">
        <stop position="0">
          <color rgb="FF92D050"/>
        </stop>
        <stop position="1">
          <color theme="0"/>
        </stop>
      </gradientFill>
    </fill>
  </fills>
  <borders count="8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auto="1"/>
      </bottom>
      <diagonal/>
    </border>
    <border>
      <left style="medium">
        <color indexed="64"/>
      </left>
      <right/>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top/>
      <bottom style="medium">
        <color indexed="64"/>
      </bottom>
      <diagonal/>
    </border>
    <border>
      <left/>
      <right/>
      <top style="thin">
        <color indexed="64"/>
      </top>
      <bottom/>
      <diagonal/>
    </border>
    <border>
      <left style="thin">
        <color indexed="64"/>
      </left>
      <right/>
      <top/>
      <bottom/>
      <diagonal/>
    </border>
    <border>
      <left style="thin">
        <color indexed="64"/>
      </left>
      <right/>
      <top style="medium">
        <color indexed="64"/>
      </top>
      <bottom style="medium">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s>
  <cellStyleXfs count="2">
    <xf numFmtId="0" fontId="0" fillId="0" borderId="0"/>
    <xf numFmtId="0" fontId="24" fillId="0" borderId="0" applyNumberFormat="0" applyFill="0" applyBorder="0" applyAlignment="0" applyProtection="0"/>
  </cellStyleXfs>
  <cellXfs count="2024">
    <xf numFmtId="0" fontId="0" fillId="0" borderId="0" xfId="0"/>
    <xf numFmtId="0" fontId="0" fillId="0" borderId="0" xfId="0" applyAlignment="1">
      <alignment wrapText="1"/>
    </xf>
    <xf numFmtId="0" fontId="0" fillId="2" borderId="4" xfId="0" applyFill="1" applyBorder="1"/>
    <xf numFmtId="0" fontId="0" fillId="2" borderId="5" xfId="0" applyFill="1" applyBorder="1"/>
    <xf numFmtId="0" fontId="0" fillId="2" borderId="6" xfId="0" applyFill="1" applyBorder="1"/>
    <xf numFmtId="0" fontId="0" fillId="2" borderId="8" xfId="0" applyFill="1" applyBorder="1"/>
    <xf numFmtId="0" fontId="0" fillId="2" borderId="0" xfId="0" applyFill="1" applyBorder="1" applyAlignment="1">
      <alignment vertical="top" wrapText="1"/>
    </xf>
    <xf numFmtId="0" fontId="0" fillId="0" borderId="0" xfId="0" applyFill="1"/>
    <xf numFmtId="0" fontId="0" fillId="0" borderId="12" xfId="0" applyFill="1" applyBorder="1" applyAlignment="1">
      <alignment wrapText="1"/>
    </xf>
    <xf numFmtId="0" fontId="11" fillId="0" borderId="12" xfId="0" applyFont="1" applyFill="1" applyBorder="1"/>
    <xf numFmtId="0" fontId="8" fillId="0" borderId="0" xfId="0" applyFont="1" applyProtection="1"/>
    <xf numFmtId="0" fontId="8" fillId="0" borderId="20" xfId="0" applyFont="1" applyBorder="1" applyProtection="1"/>
    <xf numFmtId="0" fontId="8" fillId="0" borderId="21" xfId="0" applyFont="1" applyBorder="1" applyProtection="1"/>
    <xf numFmtId="0" fontId="8" fillId="0" borderId="3" xfId="0" applyFont="1" applyBorder="1" applyProtection="1"/>
    <xf numFmtId="0" fontId="8" fillId="0" borderId="19" xfId="0" applyFont="1" applyBorder="1" applyProtection="1"/>
    <xf numFmtId="0" fontId="8" fillId="0" borderId="12" xfId="0" applyFont="1" applyBorder="1" applyAlignment="1" applyProtection="1">
      <alignment horizontal="center"/>
    </xf>
    <xf numFmtId="0" fontId="8" fillId="0" borderId="23" xfId="0" applyFont="1" applyBorder="1" applyAlignment="1" applyProtection="1">
      <alignment horizontal="center"/>
    </xf>
    <xf numFmtId="0" fontId="8" fillId="0" borderId="25" xfId="0" applyFont="1" applyBorder="1" applyAlignment="1" applyProtection="1">
      <alignment horizontal="center"/>
    </xf>
    <xf numFmtId="0" fontId="8" fillId="0" borderId="26" xfId="0" applyFont="1" applyBorder="1" applyAlignment="1" applyProtection="1">
      <alignment horizontal="center"/>
    </xf>
    <xf numFmtId="0" fontId="9" fillId="0" borderId="20" xfId="0" applyFont="1" applyBorder="1" applyProtection="1"/>
    <xf numFmtId="2" fontId="8" fillId="0" borderId="17" xfId="0" applyNumberFormat="1" applyFont="1" applyBorder="1" applyAlignment="1" applyProtection="1">
      <alignment horizontal="center"/>
    </xf>
    <xf numFmtId="2" fontId="8" fillId="0" borderId="23" xfId="0" applyNumberFormat="1" applyFont="1" applyBorder="1" applyAlignment="1" applyProtection="1">
      <alignment horizontal="center"/>
    </xf>
    <xf numFmtId="1" fontId="8" fillId="0" borderId="0" xfId="0" applyNumberFormat="1" applyFont="1" applyProtection="1"/>
    <xf numFmtId="2" fontId="8" fillId="0" borderId="26" xfId="0" applyNumberFormat="1" applyFont="1" applyBorder="1" applyAlignment="1" applyProtection="1">
      <alignment horizontal="center"/>
    </xf>
    <xf numFmtId="0" fontId="8" fillId="2" borderId="0" xfId="0" applyFont="1" applyFill="1" applyProtection="1"/>
    <xf numFmtId="0" fontId="8" fillId="2" borderId="4" xfId="0" applyFont="1" applyFill="1" applyBorder="1" applyProtection="1"/>
    <xf numFmtId="0" fontId="8" fillId="2" borderId="0" xfId="0" applyFont="1" applyFill="1" applyBorder="1" applyProtection="1"/>
    <xf numFmtId="0" fontId="8" fillId="2" borderId="38" xfId="0" applyFont="1" applyFill="1" applyBorder="1" applyProtection="1"/>
    <xf numFmtId="0" fontId="8" fillId="0" borderId="0" xfId="0" applyFont="1" applyAlignment="1" applyProtection="1">
      <alignment horizontal="right"/>
    </xf>
    <xf numFmtId="0" fontId="8" fillId="2" borderId="6" xfId="0" applyFont="1" applyFill="1" applyBorder="1" applyProtection="1"/>
    <xf numFmtId="0" fontId="8" fillId="2" borderId="40" xfId="0" applyFont="1" applyFill="1" applyBorder="1" applyAlignment="1" applyProtection="1">
      <alignment horizontal="center" vertical="center"/>
    </xf>
    <xf numFmtId="0" fontId="8" fillId="2" borderId="41" xfId="0" applyFont="1" applyFill="1" applyBorder="1" applyAlignment="1" applyProtection="1">
      <alignment horizontal="center" vertical="center"/>
    </xf>
    <xf numFmtId="0" fontId="8" fillId="2" borderId="42" xfId="0" applyFont="1" applyFill="1" applyBorder="1" applyAlignment="1" applyProtection="1">
      <alignment horizontal="center" vertical="center"/>
    </xf>
    <xf numFmtId="0" fontId="8" fillId="2" borderId="2" xfId="0" applyFont="1" applyFill="1" applyBorder="1" applyProtection="1"/>
    <xf numFmtId="3" fontId="8" fillId="2" borderId="0" xfId="0" applyNumberFormat="1" applyFont="1" applyFill="1" applyBorder="1" applyAlignment="1" applyProtection="1">
      <alignment horizontal="center" vertical="center"/>
    </xf>
    <xf numFmtId="0" fontId="8" fillId="0" borderId="12" xfId="0" applyFont="1" applyBorder="1" applyAlignment="1" applyProtection="1">
      <alignment horizontal="center" vertical="center"/>
    </xf>
    <xf numFmtId="0" fontId="8" fillId="0" borderId="22" xfId="0" applyFont="1" applyBorder="1" applyProtection="1"/>
    <xf numFmtId="0" fontId="8" fillId="0" borderId="23" xfId="0" applyFont="1" applyBorder="1" applyProtection="1"/>
    <xf numFmtId="0" fontId="8" fillId="0" borderId="26" xfId="0" applyFont="1" applyBorder="1" applyProtection="1"/>
    <xf numFmtId="0" fontId="8" fillId="0" borderId="24" xfId="0" applyFont="1" applyBorder="1" applyProtection="1"/>
    <xf numFmtId="0" fontId="11" fillId="0" borderId="0" xfId="0" applyFont="1" applyFill="1" applyAlignment="1">
      <alignment horizontal="left" vertical="center"/>
    </xf>
    <xf numFmtId="0" fontId="9" fillId="0" borderId="0" xfId="0" applyFont="1" applyProtection="1"/>
    <xf numFmtId="0" fontId="11" fillId="0" borderId="12" xfId="0" applyFont="1" applyFill="1" applyBorder="1" applyAlignment="1">
      <alignment horizontal="left" wrapText="1"/>
    </xf>
    <xf numFmtId="0" fontId="11" fillId="0" borderId="12" xfId="0" applyFont="1" applyFill="1" applyBorder="1" applyAlignment="1">
      <alignment wrapText="1"/>
    </xf>
    <xf numFmtId="0" fontId="9" fillId="0" borderId="12" xfId="0" applyFont="1" applyBorder="1" applyProtection="1"/>
    <xf numFmtId="0" fontId="13" fillId="2" borderId="0" xfId="0" applyFont="1" applyFill="1" applyBorder="1" applyAlignment="1">
      <alignment horizontal="left" vertical="top"/>
    </xf>
    <xf numFmtId="0" fontId="8" fillId="0" borderId="12" xfId="0" applyFont="1" applyBorder="1" applyProtection="1"/>
    <xf numFmtId="0" fontId="8" fillId="0" borderId="25" xfId="0" applyFont="1" applyBorder="1" applyProtection="1"/>
    <xf numFmtId="0" fontId="8" fillId="2" borderId="1" xfId="0" applyFont="1" applyFill="1" applyBorder="1" applyProtection="1"/>
    <xf numFmtId="0" fontId="8" fillId="0" borderId="16" xfId="0" applyFont="1" applyBorder="1" applyAlignment="1" applyProtection="1">
      <alignment horizontal="center"/>
    </xf>
    <xf numFmtId="0" fontId="8" fillId="0" borderId="35" xfId="0" applyFont="1" applyBorder="1" applyAlignment="1" applyProtection="1">
      <alignment horizontal="center"/>
    </xf>
    <xf numFmtId="0" fontId="8" fillId="0" borderId="20" xfId="0" applyFont="1" applyBorder="1" applyAlignment="1" applyProtection="1">
      <alignment horizontal="center"/>
    </xf>
    <xf numFmtId="0" fontId="8" fillId="0" borderId="34" xfId="0" applyFont="1" applyBorder="1" applyAlignment="1" applyProtection="1">
      <alignment horizontal="center"/>
    </xf>
    <xf numFmtId="1" fontId="8" fillId="0" borderId="23" xfId="0" applyNumberFormat="1" applyFont="1" applyBorder="1" applyAlignment="1" applyProtection="1">
      <alignment horizontal="center"/>
    </xf>
    <xf numFmtId="1" fontId="8" fillId="0" borderId="26" xfId="0" applyNumberFormat="1" applyFont="1" applyBorder="1" applyAlignment="1" applyProtection="1">
      <alignment horizontal="center"/>
    </xf>
    <xf numFmtId="0" fontId="11" fillId="0" borderId="15" xfId="0" applyFont="1" applyFill="1" applyBorder="1"/>
    <xf numFmtId="164" fontId="19" fillId="0" borderId="12" xfId="0" applyNumberFormat="1" applyFont="1" applyFill="1" applyBorder="1" applyAlignment="1">
      <alignment horizontal="center" vertical="top"/>
    </xf>
    <xf numFmtId="2" fontId="8" fillId="0" borderId="12" xfId="0" applyNumberFormat="1" applyFont="1" applyFill="1" applyBorder="1" applyAlignment="1">
      <alignment horizontal="center" vertical="top"/>
    </xf>
    <xf numFmtId="1" fontId="8" fillId="0" borderId="12" xfId="0" applyNumberFormat="1" applyFont="1" applyBorder="1" applyProtection="1"/>
    <xf numFmtId="0" fontId="8" fillId="0" borderId="19" xfId="0" applyFont="1" applyBorder="1" applyAlignment="1" applyProtection="1">
      <alignment wrapText="1"/>
    </xf>
    <xf numFmtId="0" fontId="23" fillId="0" borderId="0" xfId="0" applyFont="1"/>
    <xf numFmtId="0" fontId="24" fillId="0" borderId="0" xfId="1" applyAlignment="1">
      <alignment wrapText="1"/>
    </xf>
    <xf numFmtId="0" fontId="8" fillId="0" borderId="46" xfId="0" applyFont="1" applyBorder="1" applyAlignment="1" applyProtection="1"/>
    <xf numFmtId="0" fontId="0" fillId="0" borderId="48" xfId="0" applyBorder="1" applyAlignment="1"/>
    <xf numFmtId="0" fontId="8" fillId="0" borderId="16" xfId="0" applyFont="1" applyBorder="1" applyProtection="1"/>
    <xf numFmtId="0" fontId="8" fillId="0" borderId="0" xfId="0" applyFont="1" applyBorder="1" applyProtection="1"/>
    <xf numFmtId="0" fontId="8" fillId="0" borderId="0" xfId="0" applyFont="1"/>
    <xf numFmtId="0" fontId="8" fillId="0" borderId="0" xfId="0" applyFont="1" applyBorder="1"/>
    <xf numFmtId="0" fontId="8" fillId="0" borderId="0" xfId="0" applyFont="1" applyBorder="1" applyAlignment="1" applyProtection="1">
      <alignment horizontal="center"/>
    </xf>
    <xf numFmtId="0" fontId="8" fillId="0" borderId="24" xfId="0" applyFont="1" applyBorder="1" applyAlignment="1" applyProtection="1">
      <alignment wrapText="1"/>
    </xf>
    <xf numFmtId="0" fontId="8" fillId="0" borderId="51" xfId="0" applyFont="1" applyBorder="1"/>
    <xf numFmtId="0" fontId="8" fillId="0" borderId="22" xfId="0" applyFont="1" applyBorder="1" applyAlignment="1">
      <alignment horizontal="center"/>
    </xf>
    <xf numFmtId="0" fontId="9" fillId="0" borderId="58" xfId="0" applyFont="1" applyBorder="1" applyProtection="1"/>
    <xf numFmtId="0" fontId="8" fillId="0" borderId="59" xfId="0" applyFont="1" applyBorder="1" applyAlignment="1" applyProtection="1">
      <alignment wrapText="1"/>
    </xf>
    <xf numFmtId="0" fontId="8" fillId="0" borderId="21" xfId="0" applyFont="1" applyBorder="1" applyAlignment="1" applyProtection="1">
      <alignment horizontal="center"/>
    </xf>
    <xf numFmtId="0" fontId="8" fillId="0" borderId="46" xfId="0" applyFont="1" applyBorder="1"/>
    <xf numFmtId="0" fontId="8" fillId="0" borderId="13" xfId="0" applyFont="1" applyBorder="1" applyProtection="1"/>
    <xf numFmtId="0" fontId="8" fillId="0" borderId="19" xfId="0" applyFont="1" applyBorder="1" applyAlignment="1">
      <alignment horizontal="center"/>
    </xf>
    <xf numFmtId="0" fontId="8" fillId="0" borderId="60" xfId="0" applyFont="1" applyBorder="1" applyProtection="1"/>
    <xf numFmtId="0" fontId="8" fillId="2" borderId="0" xfId="0" applyFont="1" applyFill="1" applyBorder="1" applyAlignment="1" applyProtection="1">
      <alignment horizontal="center" vertical="center"/>
    </xf>
    <xf numFmtId="0" fontId="9" fillId="2" borderId="0" xfId="0" applyFont="1" applyFill="1" applyBorder="1" applyAlignment="1">
      <alignment horizontal="center" vertical="center" wrapText="1"/>
    </xf>
    <xf numFmtId="0" fontId="13" fillId="2" borderId="0" xfId="0" applyFont="1" applyFill="1" applyBorder="1" applyAlignment="1">
      <alignment horizontal="left" vertical="center" wrapText="1"/>
    </xf>
    <xf numFmtId="0" fontId="9" fillId="2" borderId="2" xfId="0" applyFont="1" applyFill="1" applyBorder="1" applyProtection="1"/>
    <xf numFmtId="0" fontId="8" fillId="0" borderId="59" xfId="0" applyFont="1" applyBorder="1" applyProtection="1"/>
    <xf numFmtId="0" fontId="8" fillId="0" borderId="14" xfId="0" applyFont="1" applyBorder="1" applyAlignment="1" applyProtection="1">
      <alignment horizontal="center"/>
    </xf>
    <xf numFmtId="0" fontId="8" fillId="0" borderId="29" xfId="0" applyFont="1" applyBorder="1" applyProtection="1"/>
    <xf numFmtId="0" fontId="8" fillId="0" borderId="55" xfId="0" applyFont="1" applyBorder="1" applyAlignment="1" applyProtection="1">
      <alignment wrapText="1"/>
    </xf>
    <xf numFmtId="0" fontId="8" fillId="0" borderId="1" xfId="0" applyFont="1" applyBorder="1" applyProtection="1"/>
    <xf numFmtId="0" fontId="8" fillId="0" borderId="55" xfId="0" applyFont="1" applyBorder="1" applyAlignment="1" applyProtection="1">
      <alignment horizontal="center"/>
    </xf>
    <xf numFmtId="164" fontId="8" fillId="2" borderId="14" xfId="0" applyNumberFormat="1" applyFont="1" applyFill="1" applyBorder="1" applyAlignment="1" applyProtection="1">
      <alignment horizontal="center"/>
    </xf>
    <xf numFmtId="3" fontId="8" fillId="2" borderId="30" xfId="0" applyNumberFormat="1" applyFont="1" applyFill="1" applyBorder="1" applyAlignment="1" applyProtection="1">
      <alignment horizontal="center" vertical="center"/>
    </xf>
    <xf numFmtId="3" fontId="8" fillId="2" borderId="33" xfId="0" applyNumberFormat="1" applyFont="1" applyFill="1" applyBorder="1" applyAlignment="1" applyProtection="1">
      <alignment horizontal="center" vertical="center"/>
    </xf>
    <xf numFmtId="0" fontId="0" fillId="2" borderId="0" xfId="0" applyFill="1" applyBorder="1" applyAlignment="1" applyProtection="1"/>
    <xf numFmtId="0" fontId="15" fillId="2" borderId="0" xfId="0" applyFont="1" applyFill="1" applyBorder="1" applyAlignment="1" applyProtection="1"/>
    <xf numFmtId="0" fontId="8" fillId="2" borderId="0" xfId="0" applyFont="1" applyFill="1" applyBorder="1" applyAlignment="1" applyProtection="1">
      <alignment horizontal="left" vertical="center"/>
    </xf>
    <xf numFmtId="9" fontId="8" fillId="2" borderId="0" xfId="0" applyNumberFormat="1" applyFont="1" applyFill="1" applyBorder="1" applyAlignment="1" applyProtection="1">
      <alignment horizontal="center" vertical="center"/>
    </xf>
    <xf numFmtId="0" fontId="8" fillId="0" borderId="0" xfId="0" applyFont="1" applyAlignment="1" applyProtection="1">
      <alignment vertical="top" wrapText="1"/>
    </xf>
    <xf numFmtId="164" fontId="8" fillId="0" borderId="25" xfId="0" applyNumberFormat="1" applyFont="1" applyBorder="1" applyAlignment="1" applyProtection="1">
      <alignment horizontal="center"/>
    </xf>
    <xf numFmtId="0" fontId="18" fillId="2" borderId="0" xfId="0" applyFont="1" applyFill="1" applyBorder="1" applyAlignment="1" applyProtection="1">
      <alignment horizontal="center" vertical="center"/>
      <protection locked="0"/>
    </xf>
    <xf numFmtId="0" fontId="18" fillId="2" borderId="0" xfId="0" applyFont="1" applyFill="1" applyBorder="1" applyProtection="1">
      <protection locked="0"/>
    </xf>
    <xf numFmtId="0" fontId="28" fillId="2" borderId="0" xfId="0" applyFont="1" applyFill="1" applyBorder="1" applyAlignment="1">
      <alignment horizontal="center" vertical="center" wrapText="1"/>
    </xf>
    <xf numFmtId="0" fontId="14" fillId="0" borderId="15" xfId="0" applyFont="1" applyFill="1" applyBorder="1" applyAlignment="1">
      <alignment horizontal="center"/>
    </xf>
    <xf numFmtId="2" fontId="14" fillId="0" borderId="15" xfId="0" applyNumberFormat="1" applyFont="1" applyFill="1" applyBorder="1" applyAlignment="1">
      <alignment horizontal="center"/>
    </xf>
    <xf numFmtId="0" fontId="8" fillId="0" borderId="12" xfId="0" applyFont="1" applyFill="1" applyBorder="1" applyAlignment="1">
      <alignment horizontal="center"/>
    </xf>
    <xf numFmtId="2" fontId="8" fillId="0" borderId="12" xfId="0" applyNumberFormat="1" applyFont="1" applyFill="1" applyBorder="1" applyAlignment="1">
      <alignment horizontal="center"/>
    </xf>
    <xf numFmtId="0" fontId="8" fillId="0" borderId="12" xfId="0" applyFont="1" applyFill="1" applyBorder="1"/>
    <xf numFmtId="0" fontId="8" fillId="0" borderId="0" xfId="0" applyFont="1" applyFill="1"/>
    <xf numFmtId="0" fontId="12" fillId="0" borderId="16" xfId="0" applyFont="1" applyFill="1" applyBorder="1"/>
    <xf numFmtId="0" fontId="8" fillId="0" borderId="10" xfId="0" applyFont="1" applyFill="1" applyBorder="1"/>
    <xf numFmtId="164" fontId="8" fillId="0" borderId="12" xfId="0" applyNumberFormat="1" applyFont="1" applyBorder="1" applyAlignment="1" applyProtection="1">
      <alignment horizontal="center" vertical="center"/>
    </xf>
    <xf numFmtId="2" fontId="14" fillId="0" borderId="12" xfId="0" applyNumberFormat="1" applyFont="1" applyFill="1" applyBorder="1" applyAlignment="1">
      <alignment horizontal="center" vertical="top"/>
    </xf>
    <xf numFmtId="0" fontId="11" fillId="0" borderId="0" xfId="0" applyFont="1" applyFill="1" applyBorder="1"/>
    <xf numFmtId="0" fontId="11" fillId="0" borderId="0" xfId="0" applyFont="1" applyFill="1"/>
    <xf numFmtId="0" fontId="11" fillId="0" borderId="0" xfId="0" applyFont="1" applyFill="1" applyAlignment="1">
      <alignment textRotation="90"/>
    </xf>
    <xf numFmtId="0" fontId="8" fillId="2" borderId="0" xfId="0" applyFont="1" applyFill="1"/>
    <xf numFmtId="0" fontId="8" fillId="0" borderId="0" xfId="0" applyFont="1" applyAlignment="1">
      <alignment wrapText="1"/>
    </xf>
    <xf numFmtId="0" fontId="8" fillId="0" borderId="22" xfId="0" applyFont="1" applyBorder="1" applyAlignment="1">
      <alignment wrapText="1"/>
    </xf>
    <xf numFmtId="0" fontId="8" fillId="0" borderId="12" xfId="0" applyFont="1" applyBorder="1" applyAlignment="1">
      <alignment horizontal="center" wrapText="1"/>
    </xf>
    <xf numFmtId="0" fontId="8" fillId="0" borderId="16" xfId="0" applyFont="1" applyBorder="1" applyAlignment="1">
      <alignment horizontal="center" wrapText="1"/>
    </xf>
    <xf numFmtId="0" fontId="8" fillId="0" borderId="12" xfId="0" applyFont="1" applyBorder="1" applyAlignment="1">
      <alignment horizontal="center"/>
    </xf>
    <xf numFmtId="0" fontId="8" fillId="0" borderId="23" xfId="0" applyFont="1" applyBorder="1" applyAlignment="1">
      <alignment horizontal="center"/>
    </xf>
    <xf numFmtId="0" fontId="9" fillId="2" borderId="41" xfId="0" applyFont="1" applyFill="1" applyBorder="1" applyAlignment="1">
      <alignment horizontal="center" vertical="center"/>
    </xf>
    <xf numFmtId="0" fontId="8" fillId="0" borderId="24" xfId="0" applyFont="1" applyBorder="1" applyAlignment="1">
      <alignment wrapText="1"/>
    </xf>
    <xf numFmtId="0" fontId="8" fillId="0" borderId="25" xfId="0" applyFont="1" applyBorder="1" applyAlignment="1">
      <alignment horizontal="center" wrapText="1"/>
    </xf>
    <xf numFmtId="0" fontId="8" fillId="0" borderId="35" xfId="0" applyFont="1" applyBorder="1" applyAlignment="1">
      <alignment horizontal="center" wrapText="1"/>
    </xf>
    <xf numFmtId="0" fontId="8" fillId="0" borderId="24" xfId="0" applyFont="1" applyBorder="1" applyAlignment="1">
      <alignment horizontal="center"/>
    </xf>
    <xf numFmtId="0" fontId="8" fillId="0" borderId="25" xfId="0" applyFont="1" applyBorder="1" applyAlignment="1">
      <alignment horizontal="center"/>
    </xf>
    <xf numFmtId="0" fontId="8" fillId="0" borderId="26" xfId="0" applyFont="1" applyBorder="1" applyAlignment="1">
      <alignment horizontal="center"/>
    </xf>
    <xf numFmtId="0" fontId="8" fillId="0" borderId="27" xfId="0" applyFont="1" applyBorder="1" applyAlignment="1">
      <alignment wrapText="1"/>
    </xf>
    <xf numFmtId="0" fontId="8" fillId="0" borderId="15" xfId="0" applyFont="1" applyBorder="1" applyAlignment="1">
      <alignment horizontal="center" wrapText="1"/>
    </xf>
    <xf numFmtId="0" fontId="8" fillId="0" borderId="36" xfId="0" applyFont="1" applyBorder="1" applyAlignment="1">
      <alignment horizontal="center" wrapText="1"/>
    </xf>
    <xf numFmtId="0" fontId="8" fillId="0" borderId="27" xfId="0" applyFont="1" applyBorder="1" applyAlignment="1">
      <alignment horizontal="center"/>
    </xf>
    <xf numFmtId="0" fontId="8" fillId="0" borderId="17" xfId="0" applyFont="1" applyBorder="1" applyAlignment="1">
      <alignment horizontal="center" wrapText="1"/>
    </xf>
    <xf numFmtId="0" fontId="8" fillId="0" borderId="27" xfId="0" applyFont="1" applyBorder="1" applyAlignment="1">
      <alignment horizontal="center" wrapText="1"/>
    </xf>
    <xf numFmtId="2" fontId="8" fillId="0" borderId="0" xfId="0" applyNumberFormat="1" applyFont="1" applyBorder="1"/>
    <xf numFmtId="0" fontId="8" fillId="0" borderId="23" xfId="0" applyFont="1" applyBorder="1" applyAlignment="1">
      <alignment horizontal="center" wrapText="1"/>
    </xf>
    <xf numFmtId="0" fontId="8" fillId="0" borderId="22" xfId="0" applyFont="1" applyBorder="1" applyAlignment="1">
      <alignment horizontal="center" wrapText="1"/>
    </xf>
    <xf numFmtId="0" fontId="8" fillId="2" borderId="0" xfId="0" applyFont="1" applyFill="1" applyBorder="1"/>
    <xf numFmtId="0" fontId="8" fillId="0" borderId="28" xfId="0" applyFont="1" applyBorder="1" applyAlignment="1">
      <alignment horizontal="center"/>
    </xf>
    <xf numFmtId="0" fontId="8" fillId="0" borderId="20" xfId="0" applyFont="1" applyBorder="1" applyAlignment="1">
      <alignment horizontal="center"/>
    </xf>
    <xf numFmtId="0" fontId="8" fillId="0" borderId="21" xfId="0" applyFont="1" applyBorder="1" applyAlignment="1">
      <alignment horizontal="center"/>
    </xf>
    <xf numFmtId="0" fontId="8" fillId="0" borderId="31" xfId="0" applyFont="1" applyBorder="1" applyAlignment="1">
      <alignment wrapText="1"/>
    </xf>
    <xf numFmtId="0" fontId="8" fillId="0" borderId="64" xfId="0" applyFont="1" applyBorder="1"/>
    <xf numFmtId="0" fontId="8" fillId="0" borderId="54" xfId="0" applyFont="1" applyBorder="1" applyAlignment="1">
      <alignment horizontal="center" wrapText="1"/>
    </xf>
    <xf numFmtId="0" fontId="8" fillId="0" borderId="14" xfId="0" applyFont="1" applyBorder="1" applyAlignment="1">
      <alignment horizontal="center" wrapText="1"/>
    </xf>
    <xf numFmtId="0" fontId="8" fillId="0" borderId="55" xfId="0" applyFont="1" applyBorder="1" applyAlignment="1">
      <alignment horizontal="center"/>
    </xf>
    <xf numFmtId="0" fontId="8" fillId="0" borderId="46" xfId="0" applyFont="1" applyBorder="1" applyAlignment="1">
      <alignment wrapText="1"/>
    </xf>
    <xf numFmtId="167" fontId="8" fillId="0" borderId="20" xfId="0" applyNumberFormat="1" applyFont="1" applyBorder="1" applyAlignment="1">
      <alignment horizontal="center" vertical="center"/>
    </xf>
    <xf numFmtId="167" fontId="8" fillId="0" borderId="21" xfId="0" applyNumberFormat="1" applyFont="1" applyBorder="1" applyAlignment="1">
      <alignment horizontal="center" vertical="center"/>
    </xf>
    <xf numFmtId="0" fontId="8" fillId="0" borderId="33" xfId="0" applyFont="1" applyBorder="1" applyAlignment="1">
      <alignment wrapText="1"/>
    </xf>
    <xf numFmtId="0" fontId="8" fillId="0" borderId="12" xfId="0" applyFont="1" applyFill="1" applyBorder="1" applyAlignment="1">
      <alignment horizontal="center" wrapText="1"/>
    </xf>
    <xf numFmtId="0" fontId="8" fillId="0" borderId="51" xfId="0" applyFont="1" applyBorder="1" applyAlignment="1">
      <alignment wrapText="1"/>
    </xf>
    <xf numFmtId="0" fontId="8" fillId="0" borderId="52" xfId="0" applyFont="1" applyBorder="1" applyAlignment="1">
      <alignment wrapText="1"/>
    </xf>
    <xf numFmtId="0" fontId="8" fillId="0" borderId="0" xfId="0" applyFont="1" applyFill="1" applyBorder="1" applyAlignment="1">
      <alignment wrapText="1"/>
    </xf>
    <xf numFmtId="166" fontId="8" fillId="0" borderId="0" xfId="0" applyNumberFormat="1" applyFont="1" applyFill="1"/>
    <xf numFmtId="17" fontId="8" fillId="0" borderId="0" xfId="0" applyNumberFormat="1" applyFont="1"/>
    <xf numFmtId="166" fontId="8" fillId="0" borderId="0" xfId="0" applyNumberFormat="1" applyFont="1"/>
    <xf numFmtId="0" fontId="9" fillId="0" borderId="26" xfId="0" applyFont="1" applyBorder="1" applyAlignment="1">
      <alignment horizontal="center" wrapText="1"/>
    </xf>
    <xf numFmtId="0" fontId="8" fillId="0" borderId="27" xfId="0" applyFont="1" applyBorder="1" applyAlignment="1">
      <alignment horizontal="left" wrapText="1"/>
    </xf>
    <xf numFmtId="0" fontId="8" fillId="0" borderId="17" xfId="0" applyFont="1" applyBorder="1" applyAlignment="1">
      <alignment horizontal="center"/>
    </xf>
    <xf numFmtId="0" fontId="8" fillId="0" borderId="43" xfId="0" applyFont="1" applyBorder="1"/>
    <xf numFmtId="0" fontId="9" fillId="0" borderId="45" xfId="0" applyFont="1" applyBorder="1" applyAlignment="1">
      <alignment wrapText="1"/>
    </xf>
    <xf numFmtId="0" fontId="8" fillId="0" borderId="22" xfId="0" applyFont="1" applyBorder="1" applyAlignment="1">
      <alignment horizontal="left" wrapText="1"/>
    </xf>
    <xf numFmtId="0" fontId="8" fillId="0" borderId="19" xfId="0" applyFont="1" applyBorder="1"/>
    <xf numFmtId="0" fontId="8" fillId="0" borderId="21" xfId="0" applyFont="1" applyBorder="1"/>
    <xf numFmtId="0" fontId="8" fillId="0" borderId="22" xfId="0" applyFont="1" applyBorder="1"/>
    <xf numFmtId="0" fontId="8" fillId="0" borderId="23" xfId="0" applyFont="1" applyBorder="1"/>
    <xf numFmtId="0" fontId="9" fillId="2" borderId="40" xfId="0" applyFont="1" applyFill="1" applyBorder="1"/>
    <xf numFmtId="17" fontId="8" fillId="0" borderId="23" xfId="0" quotePrefix="1" applyNumberFormat="1" applyFont="1" applyBorder="1" applyAlignment="1">
      <alignment horizontal="center"/>
    </xf>
    <xf numFmtId="0" fontId="8" fillId="0" borderId="23" xfId="0" quotePrefix="1" applyFont="1" applyBorder="1" applyAlignment="1">
      <alignment horizontal="center" wrapText="1"/>
    </xf>
    <xf numFmtId="0" fontId="8" fillId="0" borderId="23" xfId="0" quotePrefix="1" applyFont="1" applyBorder="1" applyAlignment="1">
      <alignment horizontal="center"/>
    </xf>
    <xf numFmtId="0" fontId="8" fillId="0" borderId="24" xfId="0" applyFont="1" applyBorder="1"/>
    <xf numFmtId="0" fontId="8" fillId="0" borderId="26" xfId="0" applyFont="1" applyBorder="1"/>
    <xf numFmtId="0" fontId="8" fillId="0" borderId="24" xfId="0" applyFont="1" applyBorder="1" applyAlignment="1">
      <alignment horizontal="left" wrapText="1"/>
    </xf>
    <xf numFmtId="0" fontId="8" fillId="0" borderId="0" xfId="0" applyFont="1" applyAlignment="1"/>
    <xf numFmtId="0" fontId="8" fillId="0" borderId="0" xfId="0" applyFont="1" applyFill="1" applyAlignment="1">
      <alignment wrapText="1"/>
    </xf>
    <xf numFmtId="167" fontId="8" fillId="0" borderId="12" xfId="0" applyNumberFormat="1" applyFont="1" applyFill="1" applyBorder="1" applyAlignment="1">
      <alignment horizontal="center" vertical="center"/>
    </xf>
    <xf numFmtId="167" fontId="8" fillId="0" borderId="23" xfId="0" applyNumberFormat="1" applyFont="1" applyFill="1" applyBorder="1" applyAlignment="1">
      <alignment horizontal="center" vertical="center"/>
    </xf>
    <xf numFmtId="167" fontId="8" fillId="0" borderId="25" xfId="0" applyNumberFormat="1" applyFont="1" applyFill="1" applyBorder="1" applyAlignment="1">
      <alignment horizontal="center" vertical="center"/>
    </xf>
    <xf numFmtId="167" fontId="8" fillId="0" borderId="26" xfId="0" applyNumberFormat="1" applyFont="1" applyFill="1" applyBorder="1" applyAlignment="1">
      <alignment horizontal="center" vertical="center"/>
    </xf>
    <xf numFmtId="0" fontId="8" fillId="0" borderId="0" xfId="0" applyFont="1" applyBorder="1" applyAlignment="1">
      <alignment wrapText="1"/>
    </xf>
    <xf numFmtId="2" fontId="8" fillId="0" borderId="0" xfId="0" applyNumberFormat="1" applyFont="1" applyBorder="1" applyAlignment="1">
      <alignment horizontal="center" vertical="center"/>
    </xf>
    <xf numFmtId="166" fontId="8" fillId="0" borderId="0" xfId="0" applyNumberFormat="1" applyFont="1" applyBorder="1" applyAlignment="1">
      <alignment horizontal="center" vertical="center"/>
    </xf>
    <xf numFmtId="2" fontId="8" fillId="0" borderId="40" xfId="0" applyNumberFormat="1" applyFont="1" applyBorder="1" applyAlignment="1">
      <alignment horizontal="center" vertical="center"/>
    </xf>
    <xf numFmtId="2" fontId="8" fillId="0" borderId="41" xfId="0" applyNumberFormat="1" applyFont="1" applyBorder="1" applyAlignment="1">
      <alignment horizontal="center" vertical="center"/>
    </xf>
    <xf numFmtId="2" fontId="8" fillId="0" borderId="42" xfId="0" applyNumberFormat="1" applyFont="1" applyBorder="1" applyAlignment="1">
      <alignment horizontal="center" vertical="center"/>
    </xf>
    <xf numFmtId="0" fontId="8" fillId="0" borderId="22" xfId="0" applyFont="1" applyFill="1" applyBorder="1" applyAlignment="1">
      <alignment horizontal="center" wrapText="1"/>
    </xf>
    <xf numFmtId="0" fontId="8" fillId="0" borderId="24" xfId="0" applyFont="1" applyFill="1" applyBorder="1" applyAlignment="1">
      <alignment horizontal="center" wrapText="1"/>
    </xf>
    <xf numFmtId="0" fontId="8" fillId="0" borderId="25" xfId="0" applyFont="1" applyFill="1" applyBorder="1" applyAlignment="1">
      <alignment horizontal="center" wrapText="1"/>
    </xf>
    <xf numFmtId="0" fontId="8" fillId="0" borderId="25" xfId="0" applyFont="1" applyFill="1" applyBorder="1" applyAlignment="1">
      <alignment horizontal="center"/>
    </xf>
    <xf numFmtId="2" fontId="8" fillId="0" borderId="0" xfId="0" applyNumberFormat="1" applyFont="1" applyFill="1"/>
    <xf numFmtId="0" fontId="9" fillId="2" borderId="0" xfId="0" applyFont="1" applyFill="1" applyBorder="1" applyAlignment="1" applyProtection="1">
      <alignment horizontal="left" vertical="top" wrapText="1"/>
    </xf>
    <xf numFmtId="0" fontId="0" fillId="0" borderId="0" xfId="0" applyProtection="1"/>
    <xf numFmtId="0" fontId="8" fillId="2" borderId="2" xfId="0" applyFont="1" applyFill="1" applyBorder="1"/>
    <xf numFmtId="0" fontId="9" fillId="2" borderId="2" xfId="0" applyFont="1" applyFill="1" applyBorder="1"/>
    <xf numFmtId="2" fontId="12" fillId="0" borderId="12" xfId="0" applyNumberFormat="1" applyFont="1" applyBorder="1" applyAlignment="1" applyProtection="1">
      <alignment horizontal="center" vertical="center"/>
    </xf>
    <xf numFmtId="2" fontId="19" fillId="0" borderId="12" xfId="0" applyNumberFormat="1" applyFont="1" applyFill="1" applyBorder="1" applyAlignment="1">
      <alignment horizontal="center" vertical="center"/>
    </xf>
    <xf numFmtId="0" fontId="9" fillId="0" borderId="0" xfId="0" applyFont="1"/>
    <xf numFmtId="0" fontId="11" fillId="4" borderId="37" xfId="0" applyFont="1" applyFill="1" applyBorder="1"/>
    <xf numFmtId="0" fontId="11" fillId="4" borderId="38" xfId="0" applyFont="1" applyFill="1" applyBorder="1"/>
    <xf numFmtId="0" fontId="11" fillId="4" borderId="42" xfId="0" applyFont="1" applyFill="1" applyBorder="1" applyAlignment="1">
      <alignment horizontal="center"/>
    </xf>
    <xf numFmtId="0" fontId="24" fillId="2" borderId="0" xfId="1" applyFill="1"/>
    <xf numFmtId="164" fontId="8" fillId="3" borderId="12" xfId="0" applyNumberFormat="1" applyFont="1" applyFill="1" applyBorder="1" applyAlignment="1" applyProtection="1">
      <alignment horizontal="center" vertical="center"/>
    </xf>
    <xf numFmtId="0" fontId="8" fillId="0" borderId="0" xfId="0" applyFont="1" applyFill="1" applyBorder="1" applyAlignment="1" applyProtection="1"/>
    <xf numFmtId="0" fontId="9" fillId="0" borderId="0" xfId="0" applyFont="1" applyFill="1" applyBorder="1" applyAlignment="1" applyProtection="1"/>
    <xf numFmtId="0" fontId="8" fillId="0" borderId="0" xfId="0" applyFont="1" applyFill="1" applyBorder="1" applyAlignment="1" applyProtection="1">
      <alignment horizontal="left" vertical="top"/>
    </xf>
    <xf numFmtId="0" fontId="9" fillId="2" borderId="0" xfId="0" applyFont="1" applyFill="1" applyBorder="1" applyAlignment="1" applyProtection="1">
      <alignment horizontal="left"/>
    </xf>
    <xf numFmtId="0" fontId="8" fillId="2" borderId="0" xfId="0" applyFont="1" applyFill="1" applyBorder="1" applyAlignment="1" applyProtection="1"/>
    <xf numFmtId="0" fontId="18" fillId="2" borderId="0" xfId="0" applyFont="1" applyFill="1" applyBorder="1" applyAlignment="1" applyProtection="1"/>
    <xf numFmtId="0" fontId="9" fillId="2" borderId="0" xfId="0" applyFont="1" applyFill="1" applyBorder="1" applyAlignment="1" applyProtection="1">
      <alignment horizontal="center"/>
    </xf>
    <xf numFmtId="0" fontId="13" fillId="2" borderId="0" xfId="0" applyFont="1" applyFill="1" applyBorder="1" applyAlignment="1" applyProtection="1"/>
    <xf numFmtId="0" fontId="8" fillId="0" borderId="23"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26" xfId="0" applyFont="1" applyBorder="1" applyAlignment="1" applyProtection="1">
      <alignment horizontal="center" vertical="center"/>
    </xf>
    <xf numFmtId="0" fontId="8" fillId="0" borderId="0" xfId="0" applyFont="1" applyFill="1" applyBorder="1" applyAlignment="1" applyProtection="1">
      <alignment horizontal="left"/>
    </xf>
    <xf numFmtId="0" fontId="8" fillId="2" borderId="2" xfId="0" applyFont="1" applyFill="1" applyBorder="1" applyAlignment="1" applyProtection="1"/>
    <xf numFmtId="0" fontId="8" fillId="0" borderId="24" xfId="0" applyFont="1" applyBorder="1" applyAlignment="1">
      <alignment horizontal="center" wrapText="1"/>
    </xf>
    <xf numFmtId="0" fontId="8" fillId="0" borderId="25" xfId="0" applyFont="1" applyBorder="1" applyAlignment="1">
      <alignment horizontal="center" wrapText="1"/>
    </xf>
    <xf numFmtId="0" fontId="11" fillId="0" borderId="12" xfId="0" applyFont="1" applyFill="1" applyBorder="1" applyAlignment="1">
      <alignment vertical="top" wrapText="1"/>
    </xf>
    <xf numFmtId="0" fontId="8" fillId="0" borderId="0" xfId="0" applyFont="1" applyAlignment="1" applyProtection="1">
      <alignment textRotation="90"/>
    </xf>
    <xf numFmtId="0" fontId="8" fillId="0" borderId="30" xfId="0" applyFont="1" applyBorder="1" applyAlignment="1" applyProtection="1">
      <alignment wrapText="1"/>
    </xf>
    <xf numFmtId="0" fontId="8" fillId="0" borderId="23" xfId="0" applyFont="1" applyBorder="1" applyAlignment="1" applyProtection="1">
      <alignment wrapText="1"/>
    </xf>
    <xf numFmtId="0" fontId="8" fillId="0" borderId="19" xfId="0" applyFont="1" applyBorder="1" applyAlignment="1" applyProtection="1">
      <alignment horizontal="center"/>
    </xf>
    <xf numFmtId="0" fontId="8" fillId="0" borderId="52" xfId="0" applyFont="1" applyBorder="1"/>
    <xf numFmtId="0" fontId="8" fillId="0" borderId="35" xfId="0" applyFont="1" applyBorder="1" applyProtection="1"/>
    <xf numFmtId="0" fontId="8" fillId="0" borderId="1" xfId="0" applyFont="1" applyBorder="1" applyAlignment="1">
      <alignment horizontal="center" vertical="center" wrapText="1"/>
    </xf>
    <xf numFmtId="0" fontId="8" fillId="0" borderId="6" xfId="0" applyFont="1" applyBorder="1" applyAlignment="1">
      <alignment horizontal="center" vertical="center" wrapText="1"/>
    </xf>
    <xf numFmtId="0" fontId="8" fillId="0" borderId="15" xfId="0" applyFont="1" applyBorder="1" applyAlignment="1">
      <alignment horizontal="center"/>
    </xf>
    <xf numFmtId="0" fontId="8" fillId="0" borderId="72" xfId="0" applyFont="1" applyBorder="1" applyAlignment="1">
      <alignment horizontal="center" wrapText="1"/>
    </xf>
    <xf numFmtId="0" fontId="8" fillId="0" borderId="44" xfId="0" applyFont="1" applyBorder="1" applyAlignment="1">
      <alignment horizontal="center" wrapText="1"/>
    </xf>
    <xf numFmtId="0" fontId="8" fillId="0" borderId="45" xfId="0" applyFont="1" applyBorder="1" applyAlignment="1">
      <alignment horizontal="center"/>
    </xf>
    <xf numFmtId="0" fontId="0" fillId="0" borderId="0" xfId="0" applyAlignment="1">
      <alignment horizontal="center"/>
    </xf>
    <xf numFmtId="0" fontId="0" fillId="4" borderId="1" xfId="0" applyFill="1" applyBorder="1"/>
    <xf numFmtId="0" fontId="0" fillId="4" borderId="3" xfId="0" applyFill="1" applyBorder="1"/>
    <xf numFmtId="0" fontId="30" fillId="4" borderId="46" xfId="0" applyFont="1" applyFill="1" applyBorder="1" applyAlignment="1">
      <alignment horizontal="left" vertical="top" wrapText="1"/>
    </xf>
    <xf numFmtId="0" fontId="30" fillId="4" borderId="52" xfId="0" applyFont="1" applyFill="1" applyBorder="1" applyAlignment="1">
      <alignment horizontal="left" vertical="center" wrapText="1"/>
    </xf>
    <xf numFmtId="0" fontId="11" fillId="4" borderId="48" xfId="0" applyFont="1" applyFill="1" applyBorder="1" applyAlignment="1" applyProtection="1">
      <alignment horizontal="center" vertical="center"/>
      <protection locked="0"/>
    </xf>
    <xf numFmtId="0" fontId="11" fillId="4" borderId="61" xfId="0" applyFont="1" applyFill="1" applyBorder="1" applyAlignment="1" applyProtection="1">
      <alignment horizontal="center" vertical="center"/>
      <protection locked="0"/>
    </xf>
    <xf numFmtId="0" fontId="0" fillId="4" borderId="69" xfId="0" applyFill="1" applyBorder="1" applyAlignment="1">
      <alignment horizontal="center"/>
    </xf>
    <xf numFmtId="0" fontId="11" fillId="4" borderId="30" xfId="0" applyFont="1" applyFill="1" applyBorder="1" applyAlignment="1">
      <alignment horizontal="center" vertical="center"/>
    </xf>
    <xf numFmtId="0" fontId="11" fillId="4" borderId="31" xfId="0" applyFont="1" applyFill="1" applyBorder="1" applyAlignment="1">
      <alignment horizontal="center" vertical="center"/>
    </xf>
    <xf numFmtId="0" fontId="8" fillId="4" borderId="22" xfId="0" applyFont="1" applyFill="1" applyBorder="1" applyAlignment="1" applyProtection="1">
      <alignment horizontal="right"/>
    </xf>
    <xf numFmtId="0" fontId="8" fillId="4" borderId="24" xfId="0" applyFont="1" applyFill="1" applyBorder="1" applyAlignment="1" applyProtection="1">
      <alignment horizontal="right"/>
    </xf>
    <xf numFmtId="0" fontId="0" fillId="0" borderId="0" xfId="0" applyFill="1" applyBorder="1"/>
    <xf numFmtId="0" fontId="0" fillId="4" borderId="40" xfId="0" applyFill="1" applyBorder="1"/>
    <xf numFmtId="0" fontId="0" fillId="4" borderId="41" xfId="0" applyFill="1" applyBorder="1"/>
    <xf numFmtId="0" fontId="0" fillId="4" borderId="42" xfId="0" applyFill="1" applyBorder="1"/>
    <xf numFmtId="0" fontId="8" fillId="4" borderId="19" xfId="0" applyFont="1" applyFill="1" applyBorder="1" applyProtection="1"/>
    <xf numFmtId="0" fontId="8" fillId="4" borderId="21" xfId="0" applyFont="1" applyFill="1" applyBorder="1" applyProtection="1"/>
    <xf numFmtId="0" fontId="8" fillId="4" borderId="23" xfId="0" applyFont="1" applyFill="1" applyBorder="1" applyProtection="1"/>
    <xf numFmtId="0" fontId="8" fillId="4" borderId="26" xfId="0" applyFont="1" applyFill="1" applyBorder="1" applyProtection="1"/>
    <xf numFmtId="0" fontId="11" fillId="0" borderId="0" xfId="0" applyFont="1" applyFill="1" applyBorder="1" applyAlignment="1">
      <alignment horizontal="center"/>
    </xf>
    <xf numFmtId="0" fontId="8" fillId="2" borderId="74" xfId="0" applyFont="1" applyFill="1" applyBorder="1" applyProtection="1"/>
    <xf numFmtId="2" fontId="8" fillId="2" borderId="26" xfId="0" applyNumberFormat="1" applyFont="1" applyFill="1" applyBorder="1" applyAlignment="1" applyProtection="1">
      <alignment horizontal="center" vertical="center"/>
    </xf>
    <xf numFmtId="0" fontId="8" fillId="2" borderId="67" xfId="0" applyFont="1" applyFill="1" applyBorder="1"/>
    <xf numFmtId="0" fontId="9" fillId="2" borderId="73" xfId="0" applyFont="1" applyFill="1" applyBorder="1" applyAlignment="1">
      <alignment horizontal="center" vertical="center"/>
    </xf>
    <xf numFmtId="0" fontId="8" fillId="2" borderId="1" xfId="0" applyFont="1" applyFill="1" applyBorder="1"/>
    <xf numFmtId="0" fontId="8" fillId="2" borderId="6" xfId="0" applyFont="1" applyFill="1" applyBorder="1"/>
    <xf numFmtId="0" fontId="8" fillId="2" borderId="7" xfId="0" applyFont="1" applyFill="1" applyBorder="1"/>
    <xf numFmtId="2" fontId="9" fillId="2" borderId="73" xfId="0" applyNumberFormat="1" applyFont="1" applyFill="1" applyBorder="1" applyAlignment="1">
      <alignment horizontal="center" vertical="center"/>
    </xf>
    <xf numFmtId="0" fontId="8" fillId="2" borderId="16" xfId="0" applyFont="1" applyFill="1" applyBorder="1" applyAlignment="1">
      <alignment horizontal="center" vertical="center"/>
    </xf>
    <xf numFmtId="2" fontId="8" fillId="2" borderId="60" xfId="0" applyNumberFormat="1" applyFont="1" applyFill="1" applyBorder="1" applyAlignment="1">
      <alignment horizontal="center" vertical="center"/>
    </xf>
    <xf numFmtId="0" fontId="9" fillId="2" borderId="76" xfId="0" applyFont="1" applyFill="1" applyBorder="1" applyAlignment="1">
      <alignment horizontal="center" vertical="center"/>
    </xf>
    <xf numFmtId="0" fontId="9" fillId="2" borderId="6" xfId="0" applyFont="1" applyFill="1" applyBorder="1" applyAlignment="1">
      <alignment horizontal="center" vertical="center"/>
    </xf>
    <xf numFmtId="0" fontId="8" fillId="2" borderId="57" xfId="0" applyFont="1" applyFill="1" applyBorder="1"/>
    <xf numFmtId="0" fontId="9" fillId="2" borderId="45" xfId="0" applyFont="1" applyFill="1" applyBorder="1" applyAlignment="1">
      <alignment horizontal="center" vertical="center"/>
    </xf>
    <xf numFmtId="0" fontId="8" fillId="2" borderId="36" xfId="0" applyFont="1" applyFill="1" applyBorder="1" applyAlignment="1">
      <alignment horizontal="center" vertical="center"/>
    </xf>
    <xf numFmtId="0" fontId="9" fillId="2" borderId="40" xfId="0" applyFont="1" applyFill="1" applyBorder="1" applyAlignment="1">
      <alignment horizontal="center" vertical="center"/>
    </xf>
    <xf numFmtId="0" fontId="9" fillId="2" borderId="42" xfId="0" applyFont="1" applyFill="1" applyBorder="1" applyAlignment="1">
      <alignment horizontal="center" vertical="center"/>
    </xf>
    <xf numFmtId="0" fontId="10" fillId="0" borderId="0" xfId="0" applyFont="1"/>
    <xf numFmtId="0" fontId="34" fillId="0" borderId="0" xfId="1" applyFont="1" applyFill="1" applyBorder="1" applyAlignment="1" applyProtection="1"/>
    <xf numFmtId="2" fontId="0" fillId="0" borderId="0" xfId="0" applyNumberFormat="1"/>
    <xf numFmtId="3" fontId="8" fillId="2" borderId="0" xfId="0" applyNumberFormat="1" applyFont="1" applyFill="1" applyBorder="1" applyAlignment="1" applyProtection="1">
      <alignment horizontal="center"/>
    </xf>
    <xf numFmtId="0" fontId="9" fillId="2" borderId="67" xfId="0" applyFont="1" applyFill="1" applyBorder="1" applyAlignment="1" applyProtection="1">
      <alignment vertical="center"/>
    </xf>
    <xf numFmtId="0" fontId="8" fillId="2" borderId="75" xfId="0" applyFont="1" applyFill="1" applyBorder="1" applyAlignment="1" applyProtection="1">
      <alignment horizontal="center" vertical="center"/>
    </xf>
    <xf numFmtId="0" fontId="9" fillId="2" borderId="73" xfId="0" applyFont="1" applyFill="1" applyBorder="1" applyAlignment="1" applyProtection="1">
      <alignment horizontal="center" vertical="center"/>
    </xf>
    <xf numFmtId="0" fontId="14" fillId="2" borderId="0" xfId="0" applyFont="1" applyFill="1" applyBorder="1" applyProtection="1"/>
    <xf numFmtId="3" fontId="14" fillId="2" borderId="0" xfId="0" applyNumberFormat="1" applyFont="1" applyFill="1" applyBorder="1" applyAlignment="1" applyProtection="1">
      <alignment horizontal="center" vertical="center"/>
    </xf>
    <xf numFmtId="2" fontId="34" fillId="2" borderId="1" xfId="1" applyNumberFormat="1" applyFont="1" applyFill="1" applyBorder="1" applyAlignment="1" applyProtection="1">
      <alignment vertical="top"/>
    </xf>
    <xf numFmtId="2" fontId="34" fillId="2" borderId="2" xfId="1" applyNumberFormat="1" applyFont="1" applyFill="1" applyBorder="1" applyAlignment="1" applyProtection="1">
      <alignment vertical="top"/>
    </xf>
    <xf numFmtId="2" fontId="34" fillId="2" borderId="3" xfId="1" applyNumberFormat="1" applyFont="1" applyFill="1" applyBorder="1" applyAlignment="1" applyProtection="1">
      <alignment vertical="top"/>
    </xf>
    <xf numFmtId="0" fontId="8" fillId="2" borderId="0" xfId="0" applyFont="1" applyFill="1" applyBorder="1" applyAlignment="1" applyProtection="1">
      <alignment vertical="top"/>
    </xf>
    <xf numFmtId="2" fontId="14" fillId="2" borderId="59" xfId="0" applyNumberFormat="1" applyFont="1" applyFill="1" applyBorder="1" applyAlignment="1" applyProtection="1">
      <alignment horizontal="center" vertical="center"/>
    </xf>
    <xf numFmtId="2" fontId="14" fillId="2" borderId="14" xfId="0" applyNumberFormat="1" applyFont="1" applyFill="1" applyBorder="1" applyAlignment="1" applyProtection="1">
      <alignment horizontal="center" vertical="center"/>
    </xf>
    <xf numFmtId="2" fontId="14" fillId="2" borderId="55" xfId="0" applyNumberFormat="1" applyFont="1" applyFill="1" applyBorder="1" applyAlignment="1" applyProtection="1">
      <alignment horizontal="center" vertical="center"/>
    </xf>
    <xf numFmtId="0" fontId="8" fillId="0" borderId="12" xfId="0" applyFont="1" applyBorder="1"/>
    <xf numFmtId="0" fontId="8" fillId="0" borderId="12" xfId="0" applyFont="1" applyBorder="1" applyAlignment="1">
      <alignment horizontal="center" vertical="center"/>
    </xf>
    <xf numFmtId="164" fontId="8" fillId="0" borderId="12" xfId="0" applyNumberFormat="1" applyFont="1" applyBorder="1" applyAlignment="1">
      <alignment horizontal="center"/>
    </xf>
    <xf numFmtId="0" fontId="8" fillId="0" borderId="23" xfId="0" applyFont="1" applyBorder="1" applyAlignment="1">
      <alignment horizontal="center" vertical="center"/>
    </xf>
    <xf numFmtId="0" fontId="9" fillId="0" borderId="1" xfId="0" applyFont="1" applyBorder="1"/>
    <xf numFmtId="0" fontId="8" fillId="0" borderId="2" xfId="0" applyFont="1" applyBorder="1"/>
    <xf numFmtId="0" fontId="8" fillId="0" borderId="25" xfId="0" applyFont="1" applyBorder="1" applyAlignment="1">
      <alignment horizontal="center" vertical="center"/>
    </xf>
    <xf numFmtId="0" fontId="8" fillId="0" borderId="20" xfId="0" applyFont="1" applyBorder="1"/>
    <xf numFmtId="0" fontId="9" fillId="0" borderId="22" xfId="0" applyFont="1" applyBorder="1"/>
    <xf numFmtId="164" fontId="8" fillId="0" borderId="25" xfId="0" applyNumberFormat="1" applyFont="1" applyBorder="1" applyAlignment="1">
      <alignment horizontal="center"/>
    </xf>
    <xf numFmtId="0" fontId="9" fillId="0" borderId="19" xfId="0" applyFont="1" applyBorder="1"/>
    <xf numFmtId="0" fontId="14" fillId="2" borderId="2" xfId="0" applyFont="1" applyFill="1" applyBorder="1" applyProtection="1"/>
    <xf numFmtId="0" fontId="8" fillId="2" borderId="58" xfId="0" applyFont="1" applyFill="1" applyBorder="1" applyAlignment="1" applyProtection="1">
      <alignment horizontal="left" vertical="top" wrapText="1"/>
    </xf>
    <xf numFmtId="0" fontId="9" fillId="2" borderId="37" xfId="0" applyFont="1" applyFill="1" applyBorder="1" applyAlignment="1" applyProtection="1">
      <alignment horizontal="left" vertical="top" wrapText="1"/>
    </xf>
    <xf numFmtId="0" fontId="15" fillId="2" borderId="0" xfId="0" applyFont="1" applyFill="1" applyBorder="1" applyAlignment="1" applyProtection="1">
      <alignment vertical="top"/>
    </xf>
    <xf numFmtId="0" fontId="8" fillId="0" borderId="0" xfId="0" applyFont="1" applyFill="1" applyBorder="1" applyAlignment="1"/>
    <xf numFmtId="0" fontId="8" fillId="0" borderId="0" xfId="0" applyFont="1" applyFill="1" applyBorder="1" applyAlignment="1">
      <alignment horizontal="left" vertical="top"/>
    </xf>
    <xf numFmtId="0" fontId="9" fillId="0" borderId="0" xfId="0" applyFont="1" applyFill="1" applyBorder="1" applyAlignment="1" applyProtection="1">
      <alignment horizontal="left" vertical="top"/>
    </xf>
    <xf numFmtId="0" fontId="8" fillId="0" borderId="0" xfId="0" applyFont="1" applyFill="1" applyBorder="1"/>
    <xf numFmtId="0" fontId="8" fillId="2" borderId="3" xfId="0" applyFont="1" applyFill="1" applyBorder="1" applyAlignment="1" applyProtection="1"/>
    <xf numFmtId="0" fontId="12" fillId="2" borderId="0" xfId="0" applyFont="1" applyFill="1" applyBorder="1" applyAlignment="1" applyProtection="1">
      <alignment vertical="top"/>
    </xf>
    <xf numFmtId="0" fontId="8" fillId="0" borderId="21" xfId="0" applyFont="1" applyBorder="1" applyAlignment="1">
      <alignment horizontal="center"/>
    </xf>
    <xf numFmtId="0" fontId="8" fillId="0" borderId="20" xfId="0" applyFont="1" applyBorder="1" applyAlignment="1">
      <alignment horizontal="center"/>
    </xf>
    <xf numFmtId="0" fontId="8" fillId="0" borderId="12" xfId="0" applyFont="1" applyBorder="1" applyAlignment="1">
      <alignment horizontal="center"/>
    </xf>
    <xf numFmtId="2" fontId="8" fillId="0" borderId="0" xfId="0" applyNumberFormat="1" applyFont="1" applyProtection="1"/>
    <xf numFmtId="0" fontId="8" fillId="0" borderId="0" xfId="0" applyFont="1" applyFill="1" applyProtection="1"/>
    <xf numFmtId="166" fontId="8" fillId="0" borderId="0" xfId="0" applyNumberFormat="1" applyFont="1" applyProtection="1"/>
    <xf numFmtId="0" fontId="8" fillId="0" borderId="0" xfId="0" applyFont="1" applyBorder="1" applyAlignment="1">
      <alignment horizontal="center" vertical="center"/>
    </xf>
    <xf numFmtId="9" fontId="8" fillId="0" borderId="0" xfId="0" applyNumberFormat="1" applyFont="1" applyBorder="1" applyAlignment="1">
      <alignment horizontal="center"/>
    </xf>
    <xf numFmtId="2" fontId="8" fillId="0" borderId="25" xfId="0" applyNumberFormat="1" applyFont="1" applyBorder="1" applyAlignment="1">
      <alignment horizontal="center"/>
    </xf>
    <xf numFmtId="2" fontId="8" fillId="0" borderId="26" xfId="0" applyNumberFormat="1" applyFont="1" applyBorder="1" applyAlignment="1">
      <alignment horizontal="center"/>
    </xf>
    <xf numFmtId="0" fontId="9" fillId="0" borderId="19" xfId="0" applyFont="1" applyBorder="1" applyProtection="1"/>
    <xf numFmtId="0" fontId="0" fillId="0" borderId="24" xfId="0" applyBorder="1" applyAlignment="1" applyProtection="1">
      <alignment horizontal="right"/>
    </xf>
    <xf numFmtId="2" fontId="0" fillId="0" borderId="25" xfId="0" applyNumberFormat="1" applyBorder="1" applyAlignment="1" applyProtection="1">
      <alignment horizontal="center" vertical="center"/>
    </xf>
    <xf numFmtId="0" fontId="8" fillId="0" borderId="27" xfId="0" applyFont="1" applyBorder="1" applyProtection="1"/>
    <xf numFmtId="0" fontId="8" fillId="0" borderId="15" xfId="0" applyFont="1" applyBorder="1" applyAlignment="1" applyProtection="1">
      <alignment horizontal="center"/>
    </xf>
    <xf numFmtId="0" fontId="9" fillId="0" borderId="24" xfId="0" applyFont="1" applyBorder="1" applyProtection="1"/>
    <xf numFmtId="165" fontId="14" fillId="2" borderId="59" xfId="0" applyNumberFormat="1" applyFont="1" applyFill="1" applyBorder="1" applyAlignment="1" applyProtection="1">
      <alignment horizontal="center" vertical="center"/>
    </xf>
    <xf numFmtId="165" fontId="14" fillId="2" borderId="14" xfId="0" applyNumberFormat="1" applyFont="1" applyFill="1" applyBorder="1" applyAlignment="1" applyProtection="1">
      <alignment horizontal="center" vertical="center"/>
    </xf>
    <xf numFmtId="165" fontId="14" fillId="2" borderId="55" xfId="0" applyNumberFormat="1" applyFont="1" applyFill="1" applyBorder="1" applyAlignment="1" applyProtection="1">
      <alignment horizontal="center" vertical="center"/>
    </xf>
    <xf numFmtId="0" fontId="9" fillId="0" borderId="12" xfId="0" applyFont="1" applyBorder="1" applyAlignment="1" applyProtection="1">
      <alignment horizontal="center" vertical="center"/>
    </xf>
    <xf numFmtId="0" fontId="9" fillId="0" borderId="23" xfId="0" applyFont="1" applyBorder="1" applyAlignment="1" applyProtection="1">
      <alignment horizontal="center" vertical="center"/>
    </xf>
    <xf numFmtId="0" fontId="9" fillId="0" borderId="20" xfId="0" applyFont="1" applyBorder="1" applyAlignment="1" applyProtection="1">
      <alignment horizontal="center" vertical="center"/>
    </xf>
    <xf numFmtId="0" fontId="9" fillId="0" borderId="21" xfId="0" applyFont="1" applyBorder="1" applyAlignment="1" applyProtection="1">
      <alignment horizontal="center" vertical="center"/>
    </xf>
    <xf numFmtId="0" fontId="8" fillId="0" borderId="36" xfId="0" applyFont="1" applyBorder="1" applyAlignment="1" applyProtection="1">
      <alignment horizontal="center"/>
    </xf>
    <xf numFmtId="0" fontId="8" fillId="0" borderId="60" xfId="0" applyFont="1" applyBorder="1" applyAlignment="1" applyProtection="1">
      <alignment horizontal="center"/>
    </xf>
    <xf numFmtId="0" fontId="8" fillId="0" borderId="24" xfId="0" applyFont="1" applyBorder="1" applyAlignment="1" applyProtection="1">
      <alignment horizontal="center"/>
    </xf>
    <xf numFmtId="0" fontId="9" fillId="0" borderId="40" xfId="0" applyFont="1" applyBorder="1" applyProtection="1"/>
    <xf numFmtId="0" fontId="9" fillId="0" borderId="41" xfId="0" applyFont="1" applyBorder="1" applyAlignment="1" applyProtection="1">
      <alignment horizontal="center"/>
    </xf>
    <xf numFmtId="0" fontId="9" fillId="0" borderId="76" xfId="0" applyFont="1" applyBorder="1" applyAlignment="1" applyProtection="1">
      <alignment horizontal="center"/>
    </xf>
    <xf numFmtId="164" fontId="8" fillId="0" borderId="27" xfId="0" applyNumberFormat="1" applyFont="1" applyBorder="1" applyAlignment="1" applyProtection="1">
      <alignment horizontal="center"/>
    </xf>
    <xf numFmtId="164" fontId="8" fillId="0" borderId="15" xfId="0" applyNumberFormat="1" applyFont="1" applyBorder="1" applyAlignment="1" applyProtection="1">
      <alignment horizontal="center"/>
    </xf>
    <xf numFmtId="164" fontId="8" fillId="0" borderId="17" xfId="0" applyNumberFormat="1" applyFont="1" applyBorder="1" applyAlignment="1" applyProtection="1">
      <alignment horizontal="center"/>
    </xf>
    <xf numFmtId="164" fontId="8" fillId="0" borderId="22" xfId="0" applyNumberFormat="1" applyFont="1" applyBorder="1" applyAlignment="1" applyProtection="1">
      <alignment horizontal="center"/>
    </xf>
    <xf numFmtId="164" fontId="8" fillId="0" borderId="12" xfId="0" applyNumberFormat="1" applyFont="1" applyBorder="1" applyAlignment="1" applyProtection="1">
      <alignment horizontal="center"/>
    </xf>
    <xf numFmtId="164" fontId="8" fillId="0" borderId="23" xfId="0" applyNumberFormat="1" applyFont="1" applyBorder="1" applyAlignment="1" applyProtection="1">
      <alignment horizontal="center"/>
    </xf>
    <xf numFmtId="164" fontId="8" fillId="0" borderId="59" xfId="0" applyNumberFormat="1" applyFont="1" applyBorder="1" applyAlignment="1" applyProtection="1">
      <alignment horizontal="center"/>
    </xf>
    <xf numFmtId="164" fontId="8" fillId="0" borderId="14" xfId="0" applyNumberFormat="1" applyFont="1" applyBorder="1" applyAlignment="1" applyProtection="1">
      <alignment horizontal="center"/>
    </xf>
    <xf numFmtId="164" fontId="8" fillId="0" borderId="55" xfId="0" applyNumberFormat="1" applyFont="1" applyBorder="1" applyAlignment="1" applyProtection="1">
      <alignment horizontal="center"/>
    </xf>
    <xf numFmtId="164" fontId="9" fillId="0" borderId="40" xfId="0" applyNumberFormat="1" applyFont="1" applyBorder="1" applyAlignment="1" applyProtection="1">
      <alignment horizontal="center"/>
    </xf>
    <xf numFmtId="164" fontId="9" fillId="0" borderId="41" xfId="0" applyNumberFormat="1" applyFont="1" applyBorder="1" applyAlignment="1" applyProtection="1">
      <alignment horizontal="center"/>
    </xf>
    <xf numFmtId="164" fontId="9" fillId="0" borderId="42" xfId="0" applyNumberFormat="1" applyFont="1" applyBorder="1" applyAlignment="1" applyProtection="1">
      <alignment horizontal="center"/>
    </xf>
    <xf numFmtId="0" fontId="8" fillId="2" borderId="25" xfId="0" applyFont="1" applyFill="1" applyBorder="1" applyAlignment="1" applyProtection="1">
      <alignment horizontal="center"/>
    </xf>
    <xf numFmtId="0" fontId="8" fillId="2" borderId="15" xfId="0" applyFont="1" applyFill="1" applyBorder="1" applyAlignment="1" applyProtection="1">
      <alignment horizontal="center"/>
    </xf>
    <xf numFmtId="0" fontId="8" fillId="2" borderId="12" xfId="0" applyFont="1" applyFill="1" applyBorder="1" applyAlignment="1" applyProtection="1">
      <alignment horizontal="center"/>
    </xf>
    <xf numFmtId="0" fontId="8" fillId="2" borderId="14" xfId="0" applyFont="1" applyFill="1" applyBorder="1" applyAlignment="1" applyProtection="1">
      <alignment horizontal="center"/>
    </xf>
    <xf numFmtId="0" fontId="9" fillId="2" borderId="41" xfId="0" applyFont="1" applyFill="1" applyBorder="1" applyAlignment="1" applyProtection="1">
      <alignment horizontal="center"/>
    </xf>
    <xf numFmtId="164" fontId="8" fillId="2" borderId="15" xfId="0" applyNumberFormat="1" applyFont="1" applyFill="1" applyBorder="1" applyAlignment="1" applyProtection="1">
      <alignment horizontal="center"/>
    </xf>
    <xf numFmtId="164" fontId="8" fillId="2" borderId="12" xfId="0" applyNumberFormat="1" applyFont="1" applyFill="1" applyBorder="1" applyAlignment="1" applyProtection="1">
      <alignment horizontal="center"/>
    </xf>
    <xf numFmtId="164" fontId="9" fillId="2" borderId="41" xfId="0" applyNumberFormat="1" applyFont="1" applyFill="1" applyBorder="1" applyAlignment="1" applyProtection="1">
      <alignment horizontal="center"/>
    </xf>
    <xf numFmtId="3" fontId="8" fillId="2" borderId="71" xfId="0" applyNumberFormat="1" applyFont="1" applyFill="1" applyBorder="1" applyAlignment="1" applyProtection="1">
      <alignment horizontal="center" vertical="center"/>
    </xf>
    <xf numFmtId="0" fontId="38" fillId="0" borderId="0" xfId="0" applyFont="1"/>
    <xf numFmtId="11" fontId="0" fillId="0" borderId="0" xfId="0" applyNumberFormat="1"/>
    <xf numFmtId="0" fontId="8" fillId="0" borderId="0" xfId="0" applyFont="1" applyFill="1" applyBorder="1" applyAlignment="1" applyProtection="1">
      <alignment horizontal="left" vertical="center"/>
    </xf>
    <xf numFmtId="0" fontId="0" fillId="0" borderId="0" xfId="0" applyFill="1" applyProtection="1"/>
    <xf numFmtId="0" fontId="8" fillId="0" borderId="37" xfId="0" applyFont="1" applyBorder="1" applyProtection="1"/>
    <xf numFmtId="0" fontId="8" fillId="0" borderId="38" xfId="0" applyFont="1" applyBorder="1" applyProtection="1"/>
    <xf numFmtId="0" fontId="8" fillId="0" borderId="39" xfId="0" applyFont="1" applyBorder="1" applyProtection="1"/>
    <xf numFmtId="0" fontId="9" fillId="0" borderId="42" xfId="0" applyFont="1" applyBorder="1" applyAlignment="1" applyProtection="1">
      <alignment horizontal="center"/>
    </xf>
    <xf numFmtId="0" fontId="12" fillId="2" borderId="0" xfId="0" applyFont="1" applyFill="1" applyAlignment="1">
      <alignment vertical="center"/>
    </xf>
    <xf numFmtId="0" fontId="24" fillId="2" borderId="0" xfId="1" applyFill="1" applyBorder="1" applyAlignment="1" applyProtection="1">
      <alignment vertical="center"/>
    </xf>
    <xf numFmtId="0" fontId="8" fillId="0" borderId="56" xfId="0" applyFont="1" applyBorder="1" applyAlignment="1">
      <alignment horizontal="center" vertical="center" wrapText="1"/>
    </xf>
    <xf numFmtId="0" fontId="8" fillId="0" borderId="57" xfId="0" applyFont="1" applyBorder="1" applyAlignment="1">
      <alignment horizontal="center" vertical="center" wrapText="1"/>
    </xf>
    <xf numFmtId="0" fontId="8" fillId="0" borderId="44" xfId="0" applyFont="1" applyBorder="1" applyAlignment="1">
      <alignment horizontal="center" vertical="center" wrapText="1"/>
    </xf>
    <xf numFmtId="0" fontId="8" fillId="0" borderId="45" xfId="0" applyFont="1" applyBorder="1" applyAlignment="1">
      <alignment horizontal="center" vertical="center" wrapText="1"/>
    </xf>
    <xf numFmtId="17" fontId="0" fillId="0" borderId="0" xfId="0" quotePrefix="1" applyNumberFormat="1"/>
    <xf numFmtId="0" fontId="10" fillId="0" borderId="0" xfId="0" applyFont="1" applyAlignment="1">
      <alignment wrapText="1"/>
    </xf>
    <xf numFmtId="0" fontId="39" fillId="0" borderId="0" xfId="0" applyFont="1"/>
    <xf numFmtId="0" fontId="11" fillId="0" borderId="0" xfId="0" applyFont="1"/>
    <xf numFmtId="0" fontId="14" fillId="0" borderId="0" xfId="0" applyFont="1" applyProtection="1"/>
    <xf numFmtId="0" fontId="33" fillId="0" borderId="0" xfId="0" applyFont="1" applyProtection="1"/>
    <xf numFmtId="0" fontId="14" fillId="0" borderId="12" xfId="0" applyFont="1" applyBorder="1" applyProtection="1"/>
    <xf numFmtId="0" fontId="14" fillId="0" borderId="0" xfId="0" applyFont="1" applyAlignment="1" applyProtection="1">
      <alignment horizontal="right"/>
    </xf>
    <xf numFmtId="0" fontId="14" fillId="0" borderId="0" xfId="0" applyFont="1" applyBorder="1" applyProtection="1"/>
    <xf numFmtId="0" fontId="33" fillId="0" borderId="1" xfId="0" applyFont="1" applyBorder="1" applyProtection="1"/>
    <xf numFmtId="0" fontId="14" fillId="0" borderId="2" xfId="0" applyFont="1" applyBorder="1" applyProtection="1"/>
    <xf numFmtId="0" fontId="14" fillId="0" borderId="3" xfId="0" applyFont="1" applyBorder="1" applyProtection="1"/>
    <xf numFmtId="0" fontId="14" fillId="0" borderId="0" xfId="0" applyFont="1" applyBorder="1" applyAlignment="1" applyProtection="1"/>
    <xf numFmtId="0" fontId="14" fillId="0" borderId="46" xfId="0" applyFont="1" applyBorder="1" applyAlignment="1" applyProtection="1"/>
    <xf numFmtId="0" fontId="11" fillId="0" borderId="48" xfId="0" applyFont="1" applyBorder="1" applyAlignment="1"/>
    <xf numFmtId="0" fontId="29" fillId="0" borderId="0" xfId="0" applyFont="1" applyBorder="1" applyAlignment="1"/>
    <xf numFmtId="0" fontId="14" fillId="0" borderId="41" xfId="0" applyFont="1" applyBorder="1" applyAlignment="1" applyProtection="1">
      <alignment horizontal="center" vertical="center" wrapText="1"/>
    </xf>
    <xf numFmtId="0" fontId="14" fillId="0" borderId="42" xfId="0" applyFont="1" applyBorder="1" applyAlignment="1" applyProtection="1">
      <alignment horizontal="center" vertical="center" wrapText="1"/>
    </xf>
    <xf numFmtId="0" fontId="14" fillId="0" borderId="15" xfId="0" quotePrefix="1" applyFont="1" applyBorder="1" applyAlignment="1" applyProtection="1">
      <alignment horizontal="center" vertical="center"/>
    </xf>
    <xf numFmtId="0" fontId="14" fillId="0" borderId="15" xfId="0" applyFont="1" applyBorder="1" applyAlignment="1" applyProtection="1">
      <alignment horizontal="center" vertical="center"/>
    </xf>
    <xf numFmtId="0" fontId="14" fillId="0" borderId="17" xfId="0" applyFont="1" applyBorder="1" applyAlignment="1" applyProtection="1">
      <alignment horizontal="center" vertical="center"/>
    </xf>
    <xf numFmtId="0" fontId="14" fillId="0" borderId="25" xfId="0" applyFont="1" applyBorder="1" applyAlignment="1" applyProtection="1">
      <alignment horizontal="center" vertical="center"/>
    </xf>
    <xf numFmtId="0" fontId="14" fillId="0" borderId="26" xfId="0" applyFont="1" applyBorder="1" applyAlignment="1" applyProtection="1">
      <alignment horizontal="center" vertical="center"/>
    </xf>
    <xf numFmtId="0" fontId="14" fillId="0" borderId="0" xfId="0" applyFont="1" applyAlignment="1" applyProtection="1">
      <alignment wrapText="1"/>
    </xf>
    <xf numFmtId="0" fontId="14" fillId="0" borderId="0" xfId="0" applyFont="1"/>
    <xf numFmtId="0" fontId="14" fillId="0" borderId="0" xfId="0" applyFont="1" applyBorder="1"/>
    <xf numFmtId="0" fontId="11" fillId="0" borderId="0" xfId="0" applyFont="1" applyProtection="1"/>
    <xf numFmtId="0" fontId="14" fillId="0" borderId="0" xfId="0" applyFont="1" applyBorder="1" applyAlignment="1" applyProtection="1">
      <alignment horizontal="center"/>
    </xf>
    <xf numFmtId="1" fontId="14" fillId="0" borderId="0" xfId="0" applyNumberFormat="1" applyFont="1" applyProtection="1"/>
    <xf numFmtId="0" fontId="14" fillId="0" borderId="0" xfId="0" applyFont="1" applyFill="1" applyBorder="1" applyProtection="1"/>
    <xf numFmtId="0" fontId="14" fillId="0" borderId="0" xfId="0" applyFont="1" applyFill="1" applyProtection="1"/>
    <xf numFmtId="0" fontId="14" fillId="0" borderId="0" xfId="0" applyFont="1" applyBorder="1" applyAlignment="1" applyProtection="1">
      <alignment horizontal="left"/>
    </xf>
    <xf numFmtId="2" fontId="14" fillId="0" borderId="0" xfId="0" applyNumberFormat="1" applyFont="1" applyBorder="1" applyAlignment="1" applyProtection="1">
      <alignment horizontal="center"/>
    </xf>
    <xf numFmtId="0" fontId="33" fillId="0" borderId="12" xfId="0" applyFont="1" applyBorder="1" applyProtection="1"/>
    <xf numFmtId="2" fontId="19" fillId="0" borderId="12" xfId="0" applyNumberFormat="1" applyFont="1" applyBorder="1" applyAlignment="1" applyProtection="1">
      <alignment horizontal="center" vertical="center"/>
    </xf>
    <xf numFmtId="0" fontId="14" fillId="0" borderId="12" xfId="0" applyFont="1" applyFill="1" applyBorder="1" applyAlignment="1" applyProtection="1">
      <alignment horizontal="center"/>
    </xf>
    <xf numFmtId="0" fontId="14" fillId="0" borderId="0" xfId="0" applyFont="1" applyAlignment="1" applyProtection="1">
      <alignment textRotation="90"/>
    </xf>
    <xf numFmtId="0" fontId="14" fillId="0" borderId="12" xfId="0" applyFont="1" applyBorder="1" applyAlignment="1" applyProtection="1">
      <alignment horizontal="center" vertical="center"/>
    </xf>
    <xf numFmtId="0" fontId="14" fillId="0" borderId="23" xfId="0" applyFont="1" applyBorder="1" applyAlignment="1" applyProtection="1">
      <alignment horizontal="center" vertical="center"/>
    </xf>
    <xf numFmtId="0" fontId="14" fillId="2" borderId="1" xfId="0" applyFont="1" applyFill="1" applyBorder="1" applyProtection="1"/>
    <xf numFmtId="0" fontId="33" fillId="2" borderId="2" xfId="0" applyFont="1" applyFill="1" applyBorder="1" applyProtection="1"/>
    <xf numFmtId="0" fontId="14" fillId="2" borderId="3" xfId="0" applyFont="1" applyFill="1" applyBorder="1" applyProtection="1"/>
    <xf numFmtId="0" fontId="14" fillId="2" borderId="4" xfId="0" applyFont="1" applyFill="1" applyBorder="1" applyProtection="1"/>
    <xf numFmtId="0" fontId="14" fillId="2" borderId="5" xfId="0" applyFont="1" applyFill="1" applyBorder="1" applyProtection="1"/>
    <xf numFmtId="0" fontId="14" fillId="2" borderId="40" xfId="0" applyFont="1" applyFill="1" applyBorder="1" applyAlignment="1" applyProtection="1">
      <alignment horizontal="center" vertical="center"/>
    </xf>
    <xf numFmtId="0" fontId="14" fillId="2" borderId="41" xfId="0" applyFont="1" applyFill="1" applyBorder="1" applyAlignment="1" applyProtection="1">
      <alignment horizontal="center" vertical="center"/>
    </xf>
    <xf numFmtId="0" fontId="14" fillId="2" borderId="42" xfId="0" applyFont="1" applyFill="1" applyBorder="1" applyAlignment="1" applyProtection="1">
      <alignment horizontal="center" vertical="center"/>
    </xf>
    <xf numFmtId="0" fontId="14" fillId="2" borderId="6" xfId="0" applyFont="1" applyFill="1" applyBorder="1" applyProtection="1"/>
    <xf numFmtId="0" fontId="14" fillId="2" borderId="7" xfId="0" applyFont="1" applyFill="1" applyBorder="1" applyProtection="1"/>
    <xf numFmtId="0" fontId="14" fillId="2" borderId="8" xfId="0" applyFont="1" applyFill="1" applyBorder="1" applyProtection="1"/>
    <xf numFmtId="0" fontId="14" fillId="2" borderId="0" xfId="0" applyFont="1" applyFill="1" applyProtection="1"/>
    <xf numFmtId="164" fontId="14" fillId="2" borderId="24" xfId="0" applyNumberFormat="1" applyFont="1" applyFill="1" applyBorder="1" applyAlignment="1" applyProtection="1">
      <alignment horizontal="center" vertical="center"/>
    </xf>
    <xf numFmtId="164" fontId="14" fillId="2" borderId="25" xfId="0" applyNumberFormat="1" applyFont="1" applyFill="1" applyBorder="1" applyAlignment="1" applyProtection="1">
      <alignment horizontal="center" vertical="center"/>
    </xf>
    <xf numFmtId="164" fontId="14" fillId="2" borderId="26" xfId="0" applyNumberFormat="1" applyFont="1" applyFill="1" applyBorder="1" applyAlignment="1" applyProtection="1">
      <alignment horizontal="center" vertical="center"/>
    </xf>
    <xf numFmtId="0" fontId="43" fillId="2" borderId="45" xfId="0" applyFont="1" applyFill="1" applyBorder="1" applyAlignment="1" applyProtection="1">
      <alignment horizontal="center"/>
    </xf>
    <xf numFmtId="3" fontId="14" fillId="2" borderId="7" xfId="0" applyNumberFormat="1" applyFont="1" applyFill="1" applyBorder="1" applyAlignment="1" applyProtection="1">
      <alignment horizontal="center" vertical="center"/>
    </xf>
    <xf numFmtId="3" fontId="14" fillId="2" borderId="4" xfId="0" applyNumberFormat="1" applyFont="1" applyFill="1" applyBorder="1" applyAlignment="1" applyProtection="1">
      <alignment horizontal="center" vertical="center"/>
    </xf>
    <xf numFmtId="3" fontId="14" fillId="2" borderId="78" xfId="0" applyNumberFormat="1" applyFont="1" applyFill="1" applyBorder="1" applyAlignment="1" applyProtection="1">
      <alignment horizontal="center" vertical="center"/>
    </xf>
    <xf numFmtId="3" fontId="14" fillId="2" borderId="47" xfId="0" applyNumberFormat="1" applyFont="1" applyFill="1" applyBorder="1" applyAlignment="1" applyProtection="1">
      <alignment horizontal="center" vertical="center"/>
    </xf>
    <xf numFmtId="3" fontId="14" fillId="2" borderId="18" xfId="0" applyNumberFormat="1" applyFont="1" applyFill="1" applyBorder="1" applyAlignment="1" applyProtection="1">
      <alignment horizontal="center" vertical="center"/>
    </xf>
    <xf numFmtId="0" fontId="43" fillId="2" borderId="73" xfId="0" applyFont="1" applyFill="1" applyBorder="1" applyAlignment="1" applyProtection="1">
      <alignment horizontal="center"/>
    </xf>
    <xf numFmtId="0" fontId="43" fillId="2" borderId="6" xfId="0" applyFont="1" applyFill="1" applyBorder="1" applyAlignment="1" applyProtection="1">
      <alignment horizontal="center"/>
    </xf>
    <xf numFmtId="0" fontId="41" fillId="2" borderId="0" xfId="0" applyFont="1" applyFill="1" applyBorder="1" applyAlignment="1" applyProtection="1">
      <alignment vertical="top"/>
    </xf>
    <xf numFmtId="0" fontId="43" fillId="2" borderId="0" xfId="0" applyFont="1" applyFill="1" applyBorder="1" applyAlignment="1">
      <alignment horizontal="left" vertical="top"/>
    </xf>
    <xf numFmtId="0" fontId="33" fillId="2" borderId="0" xfId="0" applyFont="1" applyFill="1" applyBorder="1" applyAlignment="1">
      <alignment horizontal="center" vertical="center" wrapText="1"/>
    </xf>
    <xf numFmtId="0" fontId="43" fillId="2" borderId="0" xfId="0" applyFont="1" applyFill="1" applyBorder="1" applyAlignment="1">
      <alignment horizontal="center" vertical="center" wrapText="1"/>
    </xf>
    <xf numFmtId="0" fontId="43" fillId="2" borderId="0" xfId="0" applyFont="1" applyFill="1" applyBorder="1" applyAlignment="1">
      <alignment horizontal="left" vertical="center" wrapText="1"/>
    </xf>
    <xf numFmtId="0" fontId="14" fillId="2" borderId="7" xfId="0" applyFont="1" applyFill="1" applyBorder="1" applyAlignment="1" applyProtection="1">
      <alignment horizontal="center" vertical="top"/>
    </xf>
    <xf numFmtId="1" fontId="14" fillId="2" borderId="0" xfId="0" applyNumberFormat="1" applyFont="1" applyFill="1" applyBorder="1" applyProtection="1"/>
    <xf numFmtId="0" fontId="14" fillId="0" borderId="0" xfId="0" applyFont="1" applyFill="1" applyAlignment="1" applyProtection="1">
      <alignment horizontal="center"/>
    </xf>
    <xf numFmtId="0" fontId="11" fillId="0" borderId="0" xfId="0" applyFont="1" applyFill="1" applyProtection="1"/>
    <xf numFmtId="0" fontId="49" fillId="0" borderId="0" xfId="0" applyFont="1" applyFill="1" applyAlignment="1" applyProtection="1">
      <alignment horizontal="center"/>
    </xf>
    <xf numFmtId="0" fontId="14" fillId="0" borderId="0" xfId="0" applyFont="1" applyFill="1" applyBorder="1" applyAlignment="1" applyProtection="1">
      <alignment wrapText="1"/>
    </xf>
    <xf numFmtId="1" fontId="14" fillId="0" borderId="0" xfId="0" applyNumberFormat="1" applyFont="1" applyFill="1" applyBorder="1" applyProtection="1"/>
    <xf numFmtId="0" fontId="43" fillId="5" borderId="26" xfId="0" applyFont="1" applyFill="1" applyBorder="1" applyAlignment="1" applyProtection="1">
      <alignment vertical="center" wrapText="1"/>
    </xf>
    <xf numFmtId="0" fontId="14" fillId="4" borderId="40" xfId="0" applyFont="1" applyFill="1" applyBorder="1" applyAlignment="1" applyProtection="1">
      <alignment horizontal="center" vertical="center"/>
    </xf>
    <xf numFmtId="0" fontId="14" fillId="4" borderId="41" xfId="0" applyFont="1" applyFill="1" applyBorder="1" applyAlignment="1" applyProtection="1">
      <alignment horizontal="center" vertical="center"/>
    </xf>
    <xf numFmtId="0" fontId="14" fillId="4" borderId="42" xfId="0" applyFont="1" applyFill="1" applyBorder="1" applyAlignment="1" applyProtection="1">
      <alignment horizontal="center" vertical="center"/>
    </xf>
    <xf numFmtId="2" fontId="14" fillId="0" borderId="33" xfId="0" applyNumberFormat="1" applyFont="1" applyBorder="1" applyAlignment="1" applyProtection="1">
      <alignment horizontal="center" vertical="center"/>
    </xf>
    <xf numFmtId="0" fontId="33" fillId="2" borderId="0" xfId="0" applyFont="1" applyFill="1" applyBorder="1" applyProtection="1"/>
    <xf numFmtId="0" fontId="14" fillId="5" borderId="13" xfId="0" applyFont="1" applyFill="1" applyBorder="1" applyAlignment="1" applyProtection="1">
      <alignment horizontal="left" vertical="top"/>
    </xf>
    <xf numFmtId="0" fontId="14" fillId="5" borderId="51" xfId="0" applyFont="1" applyFill="1" applyBorder="1" applyAlignment="1" applyProtection="1">
      <alignment horizontal="left" vertical="top"/>
    </xf>
    <xf numFmtId="0" fontId="14" fillId="2" borderId="0" xfId="0" applyFont="1" applyFill="1" applyBorder="1" applyAlignment="1" applyProtection="1">
      <alignment vertical="center"/>
    </xf>
    <xf numFmtId="1" fontId="14" fillId="2" borderId="7" xfId="0" applyNumberFormat="1" applyFont="1" applyFill="1" applyBorder="1" applyAlignment="1" applyProtection="1">
      <alignment horizontal="center" vertical="center"/>
    </xf>
    <xf numFmtId="0" fontId="14" fillId="2" borderId="0" xfId="0" applyFont="1" applyFill="1" applyBorder="1" applyAlignment="1" applyProtection="1">
      <alignment horizontal="right" vertical="center"/>
    </xf>
    <xf numFmtId="168" fontId="54" fillId="7" borderId="12" xfId="0" applyNumberFormat="1" applyFont="1" applyFill="1" applyBorder="1" applyAlignment="1" applyProtection="1">
      <alignment horizontal="center" vertical="center"/>
    </xf>
    <xf numFmtId="3" fontId="54" fillId="7" borderId="12" xfId="0" applyNumberFormat="1" applyFont="1" applyFill="1" applyBorder="1" applyAlignment="1" applyProtection="1">
      <alignment horizontal="center" vertical="center"/>
    </xf>
    <xf numFmtId="0" fontId="45" fillId="0" borderId="0" xfId="0" applyFont="1" applyProtection="1"/>
    <xf numFmtId="0" fontId="55" fillId="0" borderId="0" xfId="0" applyFont="1" applyProtection="1"/>
    <xf numFmtId="1" fontId="14" fillId="0" borderId="0" xfId="0" applyNumberFormat="1" applyFont="1" applyBorder="1" applyProtection="1"/>
    <xf numFmtId="0" fontId="29" fillId="0" borderId="0" xfId="0" applyFont="1" applyFill="1" applyBorder="1" applyAlignment="1"/>
    <xf numFmtId="0" fontId="14" fillId="0" borderId="0" xfId="0" applyFont="1" applyFill="1" applyBorder="1" applyAlignment="1" applyProtection="1">
      <alignment horizontal="center" vertical="center"/>
    </xf>
    <xf numFmtId="0" fontId="11" fillId="0" borderId="0" xfId="0" applyFont="1" applyBorder="1"/>
    <xf numFmtId="0" fontId="14" fillId="5" borderId="47" xfId="0" applyFont="1" applyFill="1" applyBorder="1" applyAlignment="1" applyProtection="1">
      <alignment horizontal="center" vertical="center"/>
    </xf>
    <xf numFmtId="164" fontId="14" fillId="4" borderId="59" xfId="0" applyNumberFormat="1" applyFont="1" applyFill="1" applyBorder="1" applyAlignment="1" applyProtection="1">
      <alignment horizontal="center" vertical="center"/>
    </xf>
    <xf numFmtId="164" fontId="14" fillId="4" borderId="14" xfId="0" applyNumberFormat="1" applyFont="1" applyFill="1" applyBorder="1" applyAlignment="1" applyProtection="1">
      <alignment horizontal="center" vertical="center"/>
    </xf>
    <xf numFmtId="164" fontId="14" fillId="4" borderId="55" xfId="0" applyNumberFormat="1" applyFont="1" applyFill="1" applyBorder="1" applyAlignment="1" applyProtection="1">
      <alignment horizontal="center" vertical="center"/>
    </xf>
    <xf numFmtId="0" fontId="45" fillId="5" borderId="46" xfId="0" applyFont="1" applyFill="1" applyBorder="1" applyProtection="1"/>
    <xf numFmtId="0" fontId="45" fillId="5" borderId="9" xfId="0" applyFont="1" applyFill="1" applyBorder="1" applyProtection="1"/>
    <xf numFmtId="3" fontId="14" fillId="2" borderId="19" xfId="0" applyNumberFormat="1" applyFont="1" applyFill="1" applyBorder="1" applyAlignment="1" applyProtection="1">
      <alignment horizontal="center" vertical="center"/>
    </xf>
    <xf numFmtId="3" fontId="14" fillId="4" borderId="27" xfId="0" applyNumberFormat="1" applyFont="1" applyFill="1" applyBorder="1" applyAlignment="1" applyProtection="1">
      <alignment horizontal="center" vertical="center"/>
    </xf>
    <xf numFmtId="3" fontId="14" fillId="4" borderId="15" xfId="0" applyNumberFormat="1" applyFont="1" applyFill="1" applyBorder="1" applyAlignment="1" applyProtection="1">
      <alignment horizontal="center" vertical="center"/>
    </xf>
    <xf numFmtId="3" fontId="14" fillId="4" borderId="17" xfId="0" applyNumberFormat="1" applyFont="1" applyFill="1" applyBorder="1" applyAlignment="1" applyProtection="1">
      <alignment horizontal="center" vertical="center"/>
    </xf>
    <xf numFmtId="3" fontId="14" fillId="4" borderId="22" xfId="0" applyNumberFormat="1" applyFont="1" applyFill="1" applyBorder="1" applyAlignment="1" applyProtection="1">
      <alignment horizontal="center" vertical="center"/>
    </xf>
    <xf numFmtId="3" fontId="14" fillId="4" borderId="12" xfId="0" applyNumberFormat="1" applyFont="1" applyFill="1" applyBorder="1" applyAlignment="1" applyProtection="1">
      <alignment horizontal="center" vertical="center"/>
    </xf>
    <xf numFmtId="3" fontId="14" fillId="4" borderId="23" xfId="0" applyNumberFormat="1" applyFont="1" applyFill="1" applyBorder="1" applyAlignment="1" applyProtection="1">
      <alignment horizontal="center" vertical="center"/>
    </xf>
    <xf numFmtId="3" fontId="14" fillId="4" borderId="65" xfId="0" applyNumberFormat="1" applyFont="1" applyFill="1" applyBorder="1" applyAlignment="1" applyProtection="1">
      <alignment horizontal="center" vertical="center"/>
    </xf>
    <xf numFmtId="3" fontId="14" fillId="4" borderId="63" xfId="0" applyNumberFormat="1" applyFont="1" applyFill="1" applyBorder="1" applyAlignment="1" applyProtection="1">
      <alignment horizontal="center" vertical="center"/>
    </xf>
    <xf numFmtId="3" fontId="14" fillId="4" borderId="66" xfId="0" applyNumberFormat="1" applyFont="1" applyFill="1" applyBorder="1" applyAlignment="1" applyProtection="1">
      <alignment horizontal="center" vertical="center"/>
    </xf>
    <xf numFmtId="0" fontId="33" fillId="2" borderId="38" xfId="0" applyFont="1" applyFill="1" applyBorder="1" applyAlignment="1" applyProtection="1">
      <alignment horizontal="left" vertical="center"/>
    </xf>
    <xf numFmtId="0" fontId="14" fillId="2" borderId="38" xfId="0" applyFont="1" applyFill="1" applyBorder="1" applyAlignment="1" applyProtection="1">
      <alignment horizontal="left" vertical="center"/>
    </xf>
    <xf numFmtId="0" fontId="14" fillId="2" borderId="37" xfId="0" applyFont="1" applyFill="1" applyBorder="1" applyAlignment="1" applyProtection="1">
      <alignment horizontal="left" vertical="center"/>
    </xf>
    <xf numFmtId="0" fontId="33" fillId="2" borderId="0" xfId="0" applyFont="1" applyFill="1" applyBorder="1" applyAlignment="1" applyProtection="1">
      <alignment horizontal="left" vertical="center"/>
    </xf>
    <xf numFmtId="0" fontId="14" fillId="2" borderId="5" xfId="0" applyFont="1" applyFill="1" applyBorder="1" applyAlignment="1" applyProtection="1">
      <alignment horizontal="center"/>
    </xf>
    <xf numFmtId="0" fontId="49" fillId="2" borderId="5" xfId="0" applyFont="1" applyFill="1" applyBorder="1" applyAlignment="1" applyProtection="1">
      <alignment horizontal="center"/>
    </xf>
    <xf numFmtId="0" fontId="14" fillId="0" borderId="0" xfId="0" quotePrefix="1" applyFont="1" applyFill="1" applyProtection="1"/>
    <xf numFmtId="0" fontId="33" fillId="5" borderId="61" xfId="0" applyFont="1" applyFill="1" applyBorder="1" applyAlignment="1" applyProtection="1">
      <alignment horizontal="center" vertical="center" wrapText="1"/>
    </xf>
    <xf numFmtId="0" fontId="14" fillId="5" borderId="48" xfId="0" applyFont="1" applyFill="1" applyBorder="1" applyProtection="1"/>
    <xf numFmtId="0" fontId="56" fillId="8" borderId="4" xfId="0" applyFont="1" applyFill="1" applyBorder="1" applyAlignment="1" applyProtection="1">
      <alignment horizontal="left" vertical="top" wrapText="1"/>
    </xf>
    <xf numFmtId="0" fontId="51" fillId="8" borderId="0" xfId="0" applyFont="1" applyFill="1" applyBorder="1" applyAlignment="1" applyProtection="1">
      <alignment wrapText="1"/>
    </xf>
    <xf numFmtId="0" fontId="52" fillId="8" borderId="5" xfId="0" applyFont="1" applyFill="1" applyBorder="1" applyAlignment="1">
      <alignment wrapText="1"/>
    </xf>
    <xf numFmtId="0" fontId="33" fillId="8" borderId="45" xfId="0" applyFont="1" applyFill="1" applyBorder="1" applyAlignment="1" applyProtection="1">
      <alignment vertical="center" wrapText="1"/>
    </xf>
    <xf numFmtId="0" fontId="14" fillId="8" borderId="74" xfId="0" applyFont="1" applyFill="1" applyBorder="1" applyProtection="1"/>
    <xf numFmtId="3" fontId="14" fillId="8" borderId="17" xfId="0" applyNumberFormat="1" applyFont="1" applyFill="1" applyBorder="1" applyAlignment="1" applyProtection="1">
      <alignment horizontal="center" vertical="center"/>
    </xf>
    <xf numFmtId="3" fontId="14" fillId="8" borderId="23" xfId="0" applyNumberFormat="1" applyFont="1" applyFill="1" applyBorder="1" applyAlignment="1" applyProtection="1">
      <alignment horizontal="center" vertical="center"/>
    </xf>
    <xf numFmtId="3" fontId="14" fillId="8" borderId="26" xfId="0" applyNumberFormat="1" applyFont="1" applyFill="1" applyBorder="1" applyAlignment="1" applyProtection="1">
      <alignment horizontal="center" vertical="center"/>
    </xf>
    <xf numFmtId="3" fontId="14" fillId="8" borderId="22" xfId="0" applyNumberFormat="1" applyFont="1" applyFill="1" applyBorder="1" applyAlignment="1" applyProtection="1">
      <alignment horizontal="center" vertical="center"/>
    </xf>
    <xf numFmtId="3" fontId="14" fillId="8" borderId="12" xfId="0" applyNumberFormat="1" applyFont="1" applyFill="1" applyBorder="1" applyAlignment="1" applyProtection="1">
      <alignment horizontal="center" vertical="center"/>
    </xf>
    <xf numFmtId="0" fontId="33" fillId="8" borderId="72" xfId="0" applyFont="1" applyFill="1" applyBorder="1" applyProtection="1"/>
    <xf numFmtId="0" fontId="14" fillId="8" borderId="18" xfId="0" applyFont="1" applyFill="1" applyBorder="1" applyProtection="1"/>
    <xf numFmtId="0" fontId="14" fillId="8" borderId="13" xfId="0" applyFont="1" applyFill="1" applyBorder="1" applyProtection="1"/>
    <xf numFmtId="0" fontId="14" fillId="8" borderId="47" xfId="0" applyFont="1" applyFill="1" applyBorder="1" applyAlignment="1" applyProtection="1">
      <alignment horizontal="left" vertical="center"/>
    </xf>
    <xf numFmtId="0" fontId="14" fillId="8" borderId="51" xfId="0" applyFont="1" applyFill="1" applyBorder="1" applyAlignment="1" applyProtection="1">
      <alignment horizontal="left" vertical="center"/>
    </xf>
    <xf numFmtId="0" fontId="14" fillId="8" borderId="58" xfId="0" applyFont="1" applyFill="1" applyBorder="1" applyAlignment="1" applyProtection="1">
      <alignment horizontal="left" vertical="center"/>
    </xf>
    <xf numFmtId="0" fontId="51" fillId="8" borderId="6" xfId="0" applyFont="1" applyFill="1" applyBorder="1" applyProtection="1"/>
    <xf numFmtId="0" fontId="43" fillId="2" borderId="21" xfId="0" applyFont="1" applyFill="1" applyBorder="1" applyAlignment="1" applyProtection="1">
      <alignment horizontal="center" vertical="center"/>
    </xf>
    <xf numFmtId="2" fontId="14" fillId="2" borderId="24" xfId="0" applyNumberFormat="1" applyFont="1" applyFill="1" applyBorder="1" applyAlignment="1" applyProtection="1">
      <alignment horizontal="center" vertical="center"/>
    </xf>
    <xf numFmtId="0" fontId="11" fillId="2" borderId="0" xfId="0" applyFont="1" applyFill="1" applyBorder="1" applyAlignment="1">
      <alignment horizontal="left" vertical="top" wrapText="1"/>
    </xf>
    <xf numFmtId="0" fontId="14" fillId="8" borderId="37" xfId="0" applyFont="1" applyFill="1" applyBorder="1" applyAlignment="1" applyProtection="1">
      <alignment horizontal="left" vertical="center"/>
    </xf>
    <xf numFmtId="0" fontId="14" fillId="8" borderId="79" xfId="0" applyFont="1" applyFill="1" applyBorder="1" applyProtection="1"/>
    <xf numFmtId="3" fontId="14" fillId="8" borderId="76" xfId="0" applyNumberFormat="1" applyFont="1" applyFill="1" applyBorder="1" applyAlignment="1" applyProtection="1">
      <alignment horizontal="center" vertical="center"/>
    </xf>
    <xf numFmtId="3" fontId="14" fillId="8" borderId="40" xfId="0" applyNumberFormat="1" applyFont="1" applyFill="1" applyBorder="1" applyAlignment="1" applyProtection="1">
      <alignment horizontal="center" vertical="center"/>
    </xf>
    <xf numFmtId="3" fontId="14" fillId="8" borderId="41" xfId="0" applyNumberFormat="1" applyFont="1" applyFill="1" applyBorder="1" applyAlignment="1" applyProtection="1">
      <alignment horizontal="center" vertical="center"/>
    </xf>
    <xf numFmtId="3" fontId="14" fillId="8" borderId="42" xfId="0" applyNumberFormat="1" applyFont="1" applyFill="1" applyBorder="1" applyAlignment="1" applyProtection="1">
      <alignment horizontal="center" vertical="center"/>
    </xf>
    <xf numFmtId="3" fontId="14" fillId="2" borderId="27" xfId="0" applyNumberFormat="1" applyFont="1" applyFill="1" applyBorder="1" applyAlignment="1" applyProtection="1">
      <alignment horizontal="center" vertical="center"/>
    </xf>
    <xf numFmtId="0" fontId="14" fillId="2" borderId="39" xfId="0" applyFont="1" applyFill="1" applyBorder="1" applyAlignment="1" applyProtection="1">
      <alignment horizontal="left" vertical="center"/>
    </xf>
    <xf numFmtId="164" fontId="14" fillId="2" borderId="59" xfId="0" applyNumberFormat="1" applyFont="1" applyFill="1" applyBorder="1" applyAlignment="1" applyProtection="1">
      <alignment horizontal="center" vertical="center"/>
    </xf>
    <xf numFmtId="164" fontId="14" fillId="2" borderId="14" xfId="0" applyNumberFormat="1" applyFont="1" applyFill="1" applyBorder="1" applyAlignment="1" applyProtection="1">
      <alignment horizontal="center" vertical="center"/>
    </xf>
    <xf numFmtId="164" fontId="14" fillId="2" borderId="55" xfId="0" applyNumberFormat="1" applyFont="1" applyFill="1" applyBorder="1" applyAlignment="1" applyProtection="1">
      <alignment horizontal="center" vertical="center"/>
    </xf>
    <xf numFmtId="0" fontId="14" fillId="2" borderId="47" xfId="0" applyFont="1" applyFill="1" applyBorder="1" applyAlignment="1" applyProtection="1">
      <alignment horizontal="left" vertical="center"/>
    </xf>
    <xf numFmtId="0" fontId="14" fillId="2" borderId="18" xfId="0" applyFont="1" applyFill="1" applyBorder="1" applyAlignment="1" applyProtection="1">
      <alignment horizontal="center" vertical="center"/>
    </xf>
    <xf numFmtId="3" fontId="14" fillId="2" borderId="49" xfId="0" applyNumberFormat="1" applyFont="1" applyFill="1" applyBorder="1" applyAlignment="1" applyProtection="1">
      <alignment horizontal="center" vertical="center"/>
    </xf>
    <xf numFmtId="3" fontId="14" fillId="2" borderId="15" xfId="0" applyNumberFormat="1" applyFont="1" applyFill="1" applyBorder="1" applyAlignment="1" applyProtection="1">
      <alignment horizontal="center" vertical="center"/>
    </xf>
    <xf numFmtId="3" fontId="14" fillId="2" borderId="17" xfId="0" applyNumberFormat="1" applyFont="1" applyFill="1" applyBorder="1" applyAlignment="1" applyProtection="1">
      <alignment horizontal="center" vertical="center"/>
    </xf>
    <xf numFmtId="0" fontId="14" fillId="2" borderId="47" xfId="0" applyFont="1" applyFill="1" applyBorder="1" applyAlignment="1" applyProtection="1">
      <alignment horizontal="center" vertical="center" wrapText="1"/>
    </xf>
    <xf numFmtId="0" fontId="14" fillId="2" borderId="11" xfId="0" applyFont="1" applyFill="1" applyBorder="1" applyAlignment="1" applyProtection="1">
      <alignment horizontal="center" vertical="center" wrapText="1"/>
    </xf>
    <xf numFmtId="1" fontId="43" fillId="2" borderId="17" xfId="0" applyNumberFormat="1" applyFont="1" applyFill="1" applyBorder="1" applyAlignment="1" applyProtection="1">
      <alignment horizontal="center" vertical="center"/>
    </xf>
    <xf numFmtId="1" fontId="43" fillId="2" borderId="19" xfId="0" applyNumberFormat="1" applyFont="1" applyFill="1" applyBorder="1" applyAlignment="1" applyProtection="1">
      <alignment horizontal="center" vertical="center"/>
    </xf>
    <xf numFmtId="1" fontId="43" fillId="2" borderId="20" xfId="0" applyNumberFormat="1" applyFont="1" applyFill="1" applyBorder="1" applyAlignment="1" applyProtection="1">
      <alignment horizontal="center" vertical="center"/>
    </xf>
    <xf numFmtId="0" fontId="14" fillId="2" borderId="21" xfId="0" applyFont="1" applyFill="1" applyBorder="1" applyAlignment="1" applyProtection="1">
      <alignment horizontal="center" vertical="center"/>
    </xf>
    <xf numFmtId="3" fontId="14" fillId="2" borderId="2" xfId="0" applyNumberFormat="1" applyFont="1" applyFill="1" applyBorder="1" applyAlignment="1" applyProtection="1">
      <alignment horizontal="center" vertical="center"/>
    </xf>
    <xf numFmtId="0" fontId="14" fillId="2" borderId="5" xfId="0" applyFont="1" applyFill="1" applyBorder="1" applyAlignment="1" applyProtection="1">
      <alignment wrapText="1"/>
    </xf>
    <xf numFmtId="0" fontId="14" fillId="2" borderId="4" xfId="0" applyFont="1" applyFill="1" applyBorder="1" applyAlignment="1" applyProtection="1">
      <alignment horizontal="center"/>
    </xf>
    <xf numFmtId="0" fontId="49" fillId="2" borderId="4" xfId="0" applyFont="1" applyFill="1" applyBorder="1" applyAlignment="1" applyProtection="1">
      <alignment horizontal="center"/>
    </xf>
    <xf numFmtId="0" fontId="14" fillId="0" borderId="0" xfId="0" applyFont="1" applyFill="1" applyBorder="1" applyAlignment="1" applyProtection="1">
      <alignment horizontal="center"/>
    </xf>
    <xf numFmtId="0" fontId="49" fillId="0" borderId="0" xfId="0" applyFont="1" applyFill="1" applyBorder="1" applyAlignment="1" applyProtection="1">
      <alignment horizontal="center"/>
    </xf>
    <xf numFmtId="0" fontId="14" fillId="2" borderId="1" xfId="0" applyFont="1" applyFill="1" applyBorder="1" applyAlignment="1" applyProtection="1">
      <alignment wrapText="1"/>
    </xf>
    <xf numFmtId="0" fontId="14" fillId="2" borderId="2" xfId="0" applyFont="1" applyFill="1" applyBorder="1" applyAlignment="1" applyProtection="1">
      <alignment wrapText="1"/>
    </xf>
    <xf numFmtId="0" fontId="11" fillId="0" borderId="0" xfId="0" applyFont="1" applyFill="1" applyBorder="1" applyProtection="1"/>
    <xf numFmtId="0" fontId="14" fillId="0" borderId="33" xfId="0" applyFont="1" applyBorder="1" applyAlignment="1" applyProtection="1">
      <alignment horizontal="center" vertical="center"/>
    </xf>
    <xf numFmtId="0" fontId="14" fillId="0" borderId="31" xfId="0" applyFont="1" applyBorder="1" applyAlignment="1" applyProtection="1">
      <alignment horizontal="center" vertical="center"/>
    </xf>
    <xf numFmtId="0" fontId="33" fillId="2" borderId="9" xfId="0" applyFont="1" applyFill="1" applyBorder="1" applyAlignment="1" applyProtection="1">
      <alignment horizontal="center" vertical="center"/>
      <protection locked="0"/>
    </xf>
    <xf numFmtId="0" fontId="11" fillId="0" borderId="16" xfId="0" applyFont="1" applyFill="1" applyBorder="1" applyAlignment="1">
      <alignment wrapText="1"/>
    </xf>
    <xf numFmtId="0" fontId="14" fillId="0" borderId="16" xfId="0" applyFont="1" applyBorder="1" applyProtection="1"/>
    <xf numFmtId="0" fontId="14" fillId="0" borderId="16" xfId="0" applyFont="1" applyBorder="1" applyAlignment="1" applyProtection="1">
      <alignment horizontal="center" vertical="center"/>
    </xf>
    <xf numFmtId="0" fontId="11" fillId="0" borderId="0" xfId="0" applyFont="1" applyFill="1" applyBorder="1" applyAlignment="1">
      <alignment wrapText="1"/>
    </xf>
    <xf numFmtId="0" fontId="11" fillId="0" borderId="12" xfId="0" applyFont="1" applyFill="1" applyBorder="1" applyAlignment="1">
      <alignment horizontal="center" vertical="center"/>
    </xf>
    <xf numFmtId="164" fontId="19" fillId="0" borderId="12" xfId="0" applyNumberFormat="1" applyFont="1" applyFill="1" applyBorder="1" applyAlignment="1">
      <alignment horizontal="center" vertical="center"/>
    </xf>
    <xf numFmtId="0" fontId="14" fillId="3" borderId="12" xfId="0" applyFont="1" applyFill="1" applyBorder="1" applyAlignment="1" applyProtection="1">
      <alignment horizontal="center" vertical="center"/>
    </xf>
    <xf numFmtId="0" fontId="14" fillId="0" borderId="12" xfId="0" applyFont="1" applyFill="1" applyBorder="1" applyAlignment="1">
      <alignment horizontal="center" vertical="center"/>
    </xf>
    <xf numFmtId="2" fontId="14" fillId="0" borderId="12" xfId="0" applyNumberFormat="1" applyFont="1" applyFill="1" applyBorder="1" applyAlignment="1">
      <alignment horizontal="center" vertical="center"/>
    </xf>
    <xf numFmtId="0" fontId="14" fillId="0" borderId="12" xfId="0" applyFont="1" applyFill="1" applyBorder="1" applyAlignment="1" applyProtection="1">
      <alignment horizontal="center" vertical="center"/>
    </xf>
    <xf numFmtId="0" fontId="14" fillId="0" borderId="12" xfId="0" applyFont="1" applyBorder="1" applyAlignment="1" applyProtection="1">
      <alignment horizontal="left" vertical="center"/>
    </xf>
    <xf numFmtId="1" fontId="14" fillId="0" borderId="12" xfId="0" applyNumberFormat="1" applyFont="1" applyBorder="1" applyAlignment="1" applyProtection="1">
      <alignment horizontal="left" vertical="center"/>
    </xf>
    <xf numFmtId="0" fontId="11" fillId="0" borderId="15" xfId="0" applyFont="1" applyFill="1" applyBorder="1" applyAlignment="1">
      <alignment horizontal="center" vertical="center"/>
    </xf>
    <xf numFmtId="2" fontId="11" fillId="0" borderId="15" xfId="0" applyNumberFormat="1" applyFont="1" applyFill="1" applyBorder="1" applyAlignment="1">
      <alignment horizontal="center" vertical="center"/>
    </xf>
    <xf numFmtId="2" fontId="11" fillId="0" borderId="12" xfId="0" applyNumberFormat="1" applyFont="1" applyFill="1" applyBorder="1" applyAlignment="1">
      <alignment horizontal="center" vertical="center"/>
    </xf>
    <xf numFmtId="0" fontId="11" fillId="2" borderId="3" xfId="0" applyFont="1" applyFill="1" applyBorder="1"/>
    <xf numFmtId="0" fontId="11" fillId="2" borderId="5" xfId="0" applyFont="1" applyFill="1" applyBorder="1"/>
    <xf numFmtId="0" fontId="14" fillId="2" borderId="4" xfId="0" applyFont="1" applyFill="1" applyBorder="1" applyAlignment="1" applyProtection="1">
      <alignment wrapText="1"/>
    </xf>
    <xf numFmtId="0" fontId="11" fillId="2" borderId="8" xfId="0" applyFont="1" applyFill="1" applyBorder="1"/>
    <xf numFmtId="0" fontId="53" fillId="2" borderId="7" xfId="1" applyFont="1" applyFill="1" applyBorder="1" applyAlignment="1" applyProtection="1">
      <alignment vertical="top"/>
    </xf>
    <xf numFmtId="0" fontId="11" fillId="2" borderId="7" xfId="0" applyFont="1" applyFill="1" applyBorder="1"/>
    <xf numFmtId="0" fontId="11" fillId="0" borderId="13" xfId="0" applyFont="1" applyFill="1" applyBorder="1" applyAlignment="1">
      <alignment horizontal="center" vertical="center"/>
    </xf>
    <xf numFmtId="0" fontId="11" fillId="0" borderId="54" xfId="0" applyFont="1" applyFill="1" applyBorder="1" applyAlignment="1">
      <alignment horizontal="center" vertical="center"/>
    </xf>
    <xf numFmtId="0" fontId="30" fillId="0" borderId="12" xfId="0" applyFont="1" applyFill="1" applyBorder="1" applyAlignment="1">
      <alignment horizontal="left" vertical="center"/>
    </xf>
    <xf numFmtId="0" fontId="33" fillId="0" borderId="30" xfId="0" applyFont="1" applyBorder="1" applyAlignment="1" applyProtection="1">
      <alignment horizontal="center" vertical="center"/>
    </xf>
    <xf numFmtId="0" fontId="14" fillId="2" borderId="53" xfId="0" applyFont="1" applyFill="1" applyBorder="1" applyAlignment="1" applyProtection="1">
      <alignment horizontal="left" vertical="center"/>
    </xf>
    <xf numFmtId="0" fontId="33" fillId="2" borderId="2" xfId="0" applyFont="1" applyFill="1" applyBorder="1" applyAlignment="1" applyProtection="1">
      <alignment horizontal="left" vertical="center"/>
    </xf>
    <xf numFmtId="0" fontId="50" fillId="5" borderId="46" xfId="0" applyFont="1" applyFill="1" applyBorder="1" applyAlignment="1">
      <alignment horizontal="center" vertical="center"/>
    </xf>
    <xf numFmtId="0" fontId="50" fillId="5" borderId="9" xfId="0" applyFont="1" applyFill="1" applyBorder="1" applyAlignment="1">
      <alignment horizontal="center" vertical="center"/>
    </xf>
    <xf numFmtId="0" fontId="50" fillId="5" borderId="48" xfId="0" applyFont="1" applyFill="1" applyBorder="1" applyAlignment="1">
      <alignment horizontal="center" vertical="center"/>
    </xf>
    <xf numFmtId="0" fontId="33" fillId="5" borderId="62" xfId="0" applyFont="1" applyFill="1" applyBorder="1" applyAlignment="1" applyProtection="1">
      <alignment horizontal="left" vertical="center"/>
    </xf>
    <xf numFmtId="0" fontId="33" fillId="5" borderId="55" xfId="0" applyFont="1" applyFill="1" applyBorder="1" applyAlignment="1" applyProtection="1">
      <alignment horizontal="center" vertical="center" wrapText="1"/>
    </xf>
    <xf numFmtId="0" fontId="33" fillId="5" borderId="45" xfId="0" applyFont="1" applyFill="1" applyBorder="1" applyAlignment="1" applyProtection="1">
      <alignment horizontal="center" vertical="center" wrapText="1"/>
    </xf>
    <xf numFmtId="0" fontId="14" fillId="5" borderId="51" xfId="0" applyFont="1" applyFill="1" applyBorder="1" applyAlignment="1" applyProtection="1">
      <alignment horizontal="left" vertical="top" wrapText="1"/>
    </xf>
    <xf numFmtId="0" fontId="51" fillId="5" borderId="52" xfId="0" applyFont="1" applyFill="1" applyBorder="1" applyAlignment="1" applyProtection="1">
      <alignment horizontal="left"/>
    </xf>
    <xf numFmtId="0" fontId="51" fillId="5" borderId="29" xfId="0" applyFont="1" applyFill="1" applyBorder="1" applyAlignment="1" applyProtection="1">
      <alignment horizontal="left"/>
    </xf>
    <xf numFmtId="0" fontId="14" fillId="2" borderId="53" xfId="0" applyFont="1" applyFill="1" applyBorder="1" applyAlignment="1" applyProtection="1">
      <alignment horizontal="left" vertical="center"/>
    </xf>
    <xf numFmtId="0" fontId="14" fillId="0" borderId="19" xfId="0" applyFont="1" applyBorder="1" applyAlignment="1" applyProtection="1">
      <alignment vertical="center"/>
    </xf>
    <xf numFmtId="0" fontId="14" fillId="0" borderId="20" xfId="0" applyFont="1" applyBorder="1" applyAlignment="1" applyProtection="1">
      <alignment horizontal="center" vertical="center"/>
    </xf>
    <xf numFmtId="0" fontId="14" fillId="0" borderId="34" xfId="0" applyFont="1" applyBorder="1" applyAlignment="1" applyProtection="1">
      <alignment horizontal="center" vertical="center"/>
    </xf>
    <xf numFmtId="0" fontId="14" fillId="0" borderId="22" xfId="0" applyFont="1" applyBorder="1" applyAlignment="1" applyProtection="1">
      <alignment vertical="center"/>
    </xf>
    <xf numFmtId="1" fontId="14" fillId="0" borderId="23" xfId="0" applyNumberFormat="1" applyFont="1" applyBorder="1" applyAlignment="1" applyProtection="1">
      <alignment horizontal="center" vertical="center"/>
    </xf>
    <xf numFmtId="0" fontId="14" fillId="0" borderId="24" xfId="0" applyFont="1" applyBorder="1" applyAlignment="1" applyProtection="1">
      <alignment vertical="center"/>
    </xf>
    <xf numFmtId="0" fontId="14" fillId="0" borderId="35" xfId="0" applyFont="1" applyBorder="1" applyAlignment="1" applyProtection="1">
      <alignment horizontal="center" vertical="center"/>
    </xf>
    <xf numFmtId="1" fontId="14" fillId="0" borderId="26" xfId="0" applyNumberFormat="1"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21" xfId="0" applyFont="1" applyBorder="1" applyAlignment="1" applyProtection="1">
      <alignment horizontal="center" vertical="center"/>
    </xf>
    <xf numFmtId="0" fontId="14" fillId="0" borderId="30" xfId="0" applyFont="1" applyBorder="1" applyAlignment="1" applyProtection="1">
      <alignment horizontal="center" vertical="center" wrapText="1"/>
    </xf>
    <xf numFmtId="0" fontId="14" fillId="0" borderId="22" xfId="0" applyFont="1" applyBorder="1" applyAlignment="1" applyProtection="1">
      <alignment horizontal="center" vertical="center"/>
    </xf>
    <xf numFmtId="0" fontId="14" fillId="0" borderId="24" xfId="0" applyFont="1" applyBorder="1" applyAlignment="1" applyProtection="1">
      <alignment horizontal="center" vertical="center"/>
    </xf>
    <xf numFmtId="0" fontId="14" fillId="0" borderId="19" xfId="0" applyFont="1" applyBorder="1" applyAlignment="1" applyProtection="1">
      <alignment horizontal="left" vertical="center" wrapText="1"/>
    </xf>
    <xf numFmtId="0" fontId="14" fillId="0" borderId="22" xfId="0" applyFont="1" applyBorder="1" applyAlignment="1" applyProtection="1">
      <alignment horizontal="left" vertical="center"/>
    </xf>
    <xf numFmtId="0" fontId="14" fillId="0" borderId="24" xfId="0" applyFont="1" applyBorder="1" applyAlignment="1" applyProtection="1">
      <alignment horizontal="left" vertical="center"/>
    </xf>
    <xf numFmtId="0" fontId="14" fillId="0" borderId="19" xfId="0" applyFont="1" applyBorder="1" applyAlignment="1" applyProtection="1">
      <alignment horizontal="left" vertical="center"/>
    </xf>
    <xf numFmtId="0" fontId="14" fillId="0" borderId="59" xfId="0" applyFont="1" applyBorder="1" applyAlignment="1" applyProtection="1">
      <alignment vertical="center"/>
    </xf>
    <xf numFmtId="0" fontId="14" fillId="0" borderId="55" xfId="0" applyFont="1" applyBorder="1" applyAlignment="1" applyProtection="1">
      <alignment vertical="center" wrapText="1"/>
    </xf>
    <xf numFmtId="0" fontId="33" fillId="0" borderId="40" xfId="0" applyFont="1" applyBorder="1" applyAlignment="1" applyProtection="1">
      <alignment horizontal="center" vertical="center" wrapText="1"/>
    </xf>
    <xf numFmtId="0" fontId="14" fillId="0" borderId="27" xfId="0" applyFont="1" applyBorder="1" applyAlignment="1" applyProtection="1">
      <alignment horizontal="center" vertical="center"/>
    </xf>
    <xf numFmtId="0" fontId="33" fillId="0" borderId="30" xfId="0" applyFont="1" applyBorder="1" applyAlignment="1" applyProtection="1">
      <alignment horizontal="center" vertical="center" wrapText="1"/>
    </xf>
    <xf numFmtId="0" fontId="33" fillId="0" borderId="28"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21" xfId="0" applyFont="1" applyBorder="1" applyAlignment="1" applyProtection="1">
      <alignment horizontal="center" vertical="center" wrapText="1"/>
    </xf>
    <xf numFmtId="0" fontId="14" fillId="0" borderId="32" xfId="0" applyFont="1" applyBorder="1" applyAlignment="1" applyProtection="1">
      <alignment horizontal="center" vertical="center" wrapText="1"/>
    </xf>
    <xf numFmtId="2" fontId="14" fillId="0" borderId="18" xfId="0" applyNumberFormat="1" applyFont="1" applyBorder="1" applyAlignment="1" applyProtection="1">
      <alignment horizontal="center" vertical="center"/>
    </xf>
    <xf numFmtId="2" fontId="14" fillId="0" borderId="15" xfId="0" applyNumberFormat="1" applyFont="1" applyBorder="1" applyAlignment="1" applyProtection="1">
      <alignment horizontal="center" vertical="center"/>
    </xf>
    <xf numFmtId="2" fontId="14" fillId="0" borderId="17" xfId="0" applyNumberFormat="1" applyFont="1" applyBorder="1" applyAlignment="1" applyProtection="1">
      <alignment horizontal="center" vertical="center"/>
    </xf>
    <xf numFmtId="0" fontId="14" fillId="0" borderId="33" xfId="0" applyFont="1" applyBorder="1" applyAlignment="1" applyProtection="1">
      <alignment horizontal="center" vertical="center" wrapText="1"/>
    </xf>
    <xf numFmtId="2" fontId="14" fillId="0" borderId="13" xfId="0" applyNumberFormat="1" applyFont="1" applyBorder="1" applyAlignment="1" applyProtection="1">
      <alignment horizontal="center" vertical="center"/>
    </xf>
    <xf numFmtId="2" fontId="14" fillId="0" borderId="12" xfId="0" applyNumberFormat="1" applyFont="1" applyBorder="1" applyAlignment="1" applyProtection="1">
      <alignment horizontal="center" vertical="center"/>
    </xf>
    <xf numFmtId="2" fontId="14" fillId="0" borderId="23" xfId="0" applyNumberFormat="1" applyFont="1" applyBorder="1" applyAlignment="1" applyProtection="1">
      <alignment horizontal="center" vertical="center"/>
    </xf>
    <xf numFmtId="2" fontId="14" fillId="0" borderId="29" xfId="0" applyNumberFormat="1" applyFont="1" applyBorder="1" applyAlignment="1" applyProtection="1">
      <alignment horizontal="center" vertical="center"/>
    </xf>
    <xf numFmtId="2" fontId="14" fillId="0" borderId="25" xfId="0" applyNumberFormat="1" applyFont="1" applyBorder="1" applyAlignment="1" applyProtection="1">
      <alignment horizontal="center" vertical="center"/>
    </xf>
    <xf numFmtId="2" fontId="14" fillId="0" borderId="26" xfId="0" applyNumberFormat="1" applyFont="1" applyBorder="1" applyAlignment="1" applyProtection="1">
      <alignment horizontal="center" vertical="center"/>
    </xf>
    <xf numFmtId="0" fontId="14" fillId="0" borderId="47" xfId="0" applyFont="1" applyBorder="1" applyAlignment="1" applyProtection="1">
      <alignment horizontal="center" vertical="center"/>
    </xf>
    <xf numFmtId="0" fontId="33" fillId="0" borderId="58" xfId="0" applyFont="1" applyBorder="1" applyAlignment="1" applyProtection="1">
      <alignment horizontal="center" vertical="center"/>
    </xf>
    <xf numFmtId="0" fontId="14" fillId="0" borderId="59" xfId="0" applyFont="1" applyBorder="1" applyAlignment="1" applyProtection="1">
      <alignment horizontal="center" vertical="center" wrapText="1"/>
    </xf>
    <xf numFmtId="0" fontId="14" fillId="0" borderId="60" xfId="0" applyFont="1" applyBorder="1" applyAlignment="1" applyProtection="1">
      <alignment horizontal="center" vertical="center"/>
    </xf>
    <xf numFmtId="0" fontId="14" fillId="0" borderId="24" xfId="0" applyFont="1" applyBorder="1" applyAlignment="1" applyProtection="1">
      <alignment horizontal="center" vertical="center" wrapText="1"/>
    </xf>
    <xf numFmtId="0" fontId="14" fillId="0" borderId="46" xfId="0" applyFont="1" applyBorder="1" applyAlignment="1">
      <alignment horizontal="center" vertical="center"/>
    </xf>
    <xf numFmtId="0" fontId="14" fillId="0" borderId="19" xfId="0" applyFont="1" applyBorder="1" applyAlignment="1">
      <alignment horizontal="center" vertical="center"/>
    </xf>
    <xf numFmtId="0" fontId="14" fillId="0" borderId="34" xfId="0" applyFont="1" applyFill="1" applyBorder="1" applyAlignment="1" applyProtection="1">
      <alignment horizontal="center" vertical="center"/>
    </xf>
    <xf numFmtId="0" fontId="14" fillId="0" borderId="51" xfId="0" applyFont="1" applyBorder="1" applyAlignment="1">
      <alignment horizontal="center" vertical="center"/>
    </xf>
    <xf numFmtId="0" fontId="14" fillId="0" borderId="22" xfId="0" applyFont="1" applyBorder="1" applyAlignment="1">
      <alignment horizontal="center" vertical="center"/>
    </xf>
    <xf numFmtId="0" fontId="14" fillId="0" borderId="16" xfId="0" applyFont="1" applyFill="1" applyBorder="1" applyAlignment="1" applyProtection="1">
      <alignment horizontal="center" vertical="center"/>
    </xf>
    <xf numFmtId="164" fontId="14" fillId="0" borderId="22" xfId="0" applyNumberFormat="1" applyFont="1" applyFill="1" applyBorder="1" applyAlignment="1">
      <alignment horizontal="center" vertical="center"/>
    </xf>
    <xf numFmtId="1" fontId="14" fillId="0" borderId="16" xfId="0" applyNumberFormat="1" applyFont="1" applyFill="1" applyBorder="1" applyAlignment="1">
      <alignment horizontal="center" vertical="center"/>
    </xf>
    <xf numFmtId="1" fontId="14" fillId="0" borderId="23" xfId="0" applyNumberFormat="1" applyFont="1" applyFill="1" applyBorder="1" applyAlignment="1">
      <alignment horizontal="center" vertical="center"/>
    </xf>
    <xf numFmtId="0" fontId="14" fillId="0" borderId="52" xfId="0" applyFont="1" applyBorder="1" applyAlignment="1" applyProtection="1">
      <alignment horizontal="center" vertical="center"/>
    </xf>
    <xf numFmtId="164" fontId="14" fillId="0" borderId="24" xfId="0" applyNumberFormat="1" applyFont="1" applyFill="1" applyBorder="1" applyAlignment="1">
      <alignment horizontal="center" vertical="center"/>
    </xf>
    <xf numFmtId="1" fontId="14" fillId="0" borderId="35" xfId="0" applyNumberFormat="1" applyFont="1" applyFill="1" applyBorder="1" applyAlignment="1">
      <alignment horizontal="center" vertical="center"/>
    </xf>
    <xf numFmtId="1" fontId="14" fillId="0" borderId="26" xfId="0" applyNumberFormat="1" applyFont="1" applyFill="1" applyBorder="1" applyAlignment="1">
      <alignment horizontal="center" vertical="center"/>
    </xf>
    <xf numFmtId="0" fontId="45" fillId="0" borderId="0" xfId="0" applyFont="1" applyAlignment="1" applyProtection="1">
      <alignment horizontal="center"/>
    </xf>
    <xf numFmtId="0" fontId="8" fillId="2" borderId="0" xfId="0" applyFont="1" applyFill="1" applyBorder="1" applyAlignment="1" applyProtection="1">
      <alignment horizontal="left" vertical="top"/>
    </xf>
    <xf numFmtId="0" fontId="0" fillId="2" borderId="0" xfId="0" applyFill="1" applyBorder="1" applyAlignment="1">
      <alignment horizontal="left" vertical="top" wrapText="1"/>
    </xf>
    <xf numFmtId="0" fontId="9" fillId="5" borderId="59" xfId="0" applyFont="1" applyFill="1" applyBorder="1" applyAlignment="1" applyProtection="1">
      <alignment horizontal="center" vertical="center"/>
    </xf>
    <xf numFmtId="0" fontId="9" fillId="5" borderId="14" xfId="0" applyFont="1" applyFill="1" applyBorder="1" applyAlignment="1" applyProtection="1">
      <alignment horizontal="center" vertical="center"/>
    </xf>
    <xf numFmtId="0" fontId="13" fillId="5" borderId="60" xfId="0" applyFont="1" applyFill="1" applyBorder="1" applyAlignment="1" applyProtection="1">
      <alignment vertical="center" wrapText="1"/>
    </xf>
    <xf numFmtId="0" fontId="13" fillId="5" borderId="55" xfId="0" applyFont="1" applyFill="1" applyBorder="1" applyAlignment="1" applyProtection="1">
      <alignment vertical="center" wrapText="1"/>
    </xf>
    <xf numFmtId="0" fontId="9" fillId="5" borderId="60" xfId="0" applyFont="1" applyFill="1" applyBorder="1" applyAlignment="1" applyProtection="1">
      <alignment horizontal="center" vertical="center" wrapText="1"/>
    </xf>
    <xf numFmtId="0" fontId="8" fillId="5" borderId="59" xfId="0" applyFont="1" applyFill="1" applyBorder="1" applyAlignment="1" applyProtection="1">
      <alignment horizontal="left" vertical="top"/>
    </xf>
    <xf numFmtId="0" fontId="8" fillId="11" borderId="40" xfId="0" applyFont="1" applyFill="1" applyBorder="1" applyAlignment="1" applyProtection="1">
      <alignment horizontal="center" vertical="center"/>
    </xf>
    <xf numFmtId="0" fontId="8" fillId="11" borderId="41" xfId="0" applyFont="1" applyFill="1" applyBorder="1" applyAlignment="1" applyProtection="1">
      <alignment horizontal="center" vertical="center"/>
    </xf>
    <xf numFmtId="0" fontId="8" fillId="11" borderId="42" xfId="0" applyFont="1" applyFill="1" applyBorder="1" applyAlignment="1" applyProtection="1">
      <alignment horizontal="center" vertical="center"/>
    </xf>
    <xf numFmtId="164" fontId="8" fillId="2" borderId="59" xfId="0" applyNumberFormat="1" applyFont="1" applyFill="1" applyBorder="1" applyAlignment="1" applyProtection="1">
      <alignment horizontal="center" vertical="center"/>
    </xf>
    <xf numFmtId="164" fontId="8" fillId="2" borderId="14" xfId="0" applyNumberFormat="1" applyFont="1" applyFill="1" applyBorder="1" applyAlignment="1" applyProtection="1">
      <alignment horizontal="center" vertical="center"/>
    </xf>
    <xf numFmtId="164" fontId="8" fillId="2" borderId="55" xfId="0" applyNumberFormat="1" applyFont="1" applyFill="1" applyBorder="1" applyAlignment="1" applyProtection="1">
      <alignment horizontal="center" vertical="center"/>
    </xf>
    <xf numFmtId="0" fontId="43" fillId="5" borderId="55" xfId="0" applyFont="1" applyFill="1" applyBorder="1" applyAlignment="1" applyProtection="1">
      <alignment horizontal="center" vertical="center" wrapText="1"/>
    </xf>
    <xf numFmtId="0" fontId="43" fillId="5" borderId="45" xfId="0" applyFont="1" applyFill="1" applyBorder="1" applyAlignment="1" applyProtection="1">
      <alignment horizontal="center" vertical="center" wrapText="1"/>
    </xf>
    <xf numFmtId="0" fontId="33" fillId="5" borderId="14" xfId="0" applyFont="1" applyFill="1" applyBorder="1" applyAlignment="1" applyProtection="1">
      <alignment horizontal="center" vertical="center"/>
    </xf>
    <xf numFmtId="0" fontId="33" fillId="5" borderId="44" xfId="0" applyFont="1" applyFill="1" applyBorder="1" applyAlignment="1" applyProtection="1">
      <alignment horizontal="center" vertical="center"/>
    </xf>
    <xf numFmtId="0" fontId="33" fillId="5" borderId="59" xfId="0" applyFont="1" applyFill="1" applyBorder="1" applyAlignment="1" applyProtection="1">
      <alignment horizontal="center" vertical="center"/>
    </xf>
    <xf numFmtId="0" fontId="33" fillId="5" borderId="43" xfId="0" applyFont="1" applyFill="1" applyBorder="1" applyAlignment="1" applyProtection="1">
      <alignment horizontal="center" vertical="center"/>
    </xf>
    <xf numFmtId="0" fontId="14" fillId="5" borderId="13" xfId="0" applyFont="1" applyFill="1" applyBorder="1" applyAlignment="1" applyProtection="1">
      <alignment horizontal="left" vertical="top" wrapText="1"/>
    </xf>
    <xf numFmtId="0" fontId="14" fillId="2" borderId="52" xfId="0" applyFont="1" applyFill="1" applyBorder="1" applyAlignment="1" applyProtection="1">
      <alignment horizontal="left" vertical="center"/>
    </xf>
    <xf numFmtId="0" fontId="14" fillId="2" borderId="61" xfId="0" applyFont="1" applyFill="1" applyBorder="1" applyAlignment="1" applyProtection="1">
      <alignment horizontal="left" vertical="center"/>
    </xf>
    <xf numFmtId="0" fontId="33" fillId="5" borderId="51" xfId="0" applyFont="1" applyFill="1" applyBorder="1" applyAlignment="1" applyProtection="1">
      <alignment horizontal="left" vertical="center"/>
    </xf>
    <xf numFmtId="0" fontId="33" fillId="5" borderId="10" xfId="0" applyFont="1" applyFill="1" applyBorder="1" applyAlignment="1" applyProtection="1">
      <alignment horizontal="left" vertical="center"/>
    </xf>
    <xf numFmtId="0" fontId="27" fillId="0" borderId="0" xfId="0" applyFont="1" applyFill="1" applyProtection="1"/>
    <xf numFmtId="0" fontId="8" fillId="0" borderId="0" xfId="0" applyFont="1" applyFill="1" applyBorder="1" applyProtection="1"/>
    <xf numFmtId="0" fontId="8" fillId="0" borderId="0" xfId="0" applyFont="1" applyFill="1" applyBorder="1" applyAlignment="1" applyProtection="1">
      <alignment wrapText="1"/>
    </xf>
    <xf numFmtId="0" fontId="8" fillId="0" borderId="0" xfId="0" applyFont="1" applyFill="1" applyAlignment="1" applyProtection="1">
      <alignment vertical="top" wrapText="1"/>
    </xf>
    <xf numFmtId="2" fontId="24" fillId="0" borderId="0" xfId="1" applyNumberFormat="1" applyFill="1" applyBorder="1" applyAlignment="1" applyProtection="1">
      <alignment horizontal="left" vertical="top"/>
    </xf>
    <xf numFmtId="0" fontId="14" fillId="0" borderId="33" xfId="0" applyFont="1" applyBorder="1" applyAlignment="1" applyProtection="1">
      <alignment horizontal="left" vertical="center" wrapText="1"/>
    </xf>
    <xf numFmtId="0" fontId="14" fillId="0" borderId="0" xfId="0" applyFont="1" applyBorder="1" applyAlignment="1" applyProtection="1">
      <alignment horizontal="center" vertical="center" wrapText="1"/>
    </xf>
    <xf numFmtId="2" fontId="14" fillId="0" borderId="0" xfId="0" applyNumberFormat="1" applyFont="1" applyBorder="1" applyAlignment="1" applyProtection="1">
      <alignment horizontal="center" vertical="center"/>
    </xf>
    <xf numFmtId="0" fontId="14" fillId="0" borderId="31" xfId="0" applyFont="1" applyBorder="1" applyAlignment="1" applyProtection="1">
      <alignment horizontal="center" vertical="center" wrapText="1"/>
    </xf>
    <xf numFmtId="0" fontId="8" fillId="0" borderId="20" xfId="0" applyFont="1" applyBorder="1" applyAlignment="1" applyProtection="1">
      <alignment horizontal="center" wrapText="1"/>
    </xf>
    <xf numFmtId="0" fontId="8" fillId="0" borderId="0" xfId="0" applyFont="1" applyFill="1" applyBorder="1" applyAlignment="1" applyProtection="1">
      <alignment horizontal="center"/>
    </xf>
    <xf numFmtId="0" fontId="59" fillId="0" borderId="0" xfId="0" applyFont="1" applyAlignment="1">
      <alignment horizontal="center" vertical="center" readingOrder="1"/>
    </xf>
    <xf numFmtId="3" fontId="8" fillId="11" borderId="19" xfId="0" applyNumberFormat="1" applyFont="1" applyFill="1" applyBorder="1" applyAlignment="1" applyProtection="1">
      <alignment horizontal="center" vertical="center"/>
    </xf>
    <xf numFmtId="3" fontId="8" fillId="11" borderId="20" xfId="0" applyNumberFormat="1" applyFont="1" applyFill="1" applyBorder="1" applyAlignment="1" applyProtection="1">
      <alignment horizontal="center" vertical="center"/>
    </xf>
    <xf numFmtId="3" fontId="8" fillId="11" borderId="21" xfId="0" applyNumberFormat="1" applyFont="1" applyFill="1" applyBorder="1" applyAlignment="1" applyProtection="1">
      <alignment horizontal="center" vertical="center"/>
    </xf>
    <xf numFmtId="0" fontId="8" fillId="2" borderId="3" xfId="0" applyFont="1" applyFill="1" applyBorder="1" applyProtection="1"/>
    <xf numFmtId="0" fontId="8" fillId="2" borderId="5" xfId="0" applyFont="1" applyFill="1" applyBorder="1" applyProtection="1"/>
    <xf numFmtId="0" fontId="27" fillId="2" borderId="5" xfId="0" applyFont="1" applyFill="1" applyBorder="1" applyProtection="1"/>
    <xf numFmtId="0" fontId="8" fillId="2" borderId="0" xfId="0" applyFont="1" applyFill="1" applyBorder="1" applyAlignment="1" applyProtection="1">
      <alignment vertical="center"/>
    </xf>
    <xf numFmtId="0" fontId="8" fillId="2" borderId="7" xfId="0" applyFont="1" applyFill="1" applyBorder="1" applyProtection="1"/>
    <xf numFmtId="0" fontId="8" fillId="2" borderId="8" xfId="0" applyFont="1" applyFill="1" applyBorder="1" applyProtection="1"/>
    <xf numFmtId="0" fontId="8" fillId="0" borderId="0" xfId="0" applyFont="1" applyFill="1" applyBorder="1" applyAlignment="1" applyProtection="1">
      <alignment vertical="top" wrapText="1"/>
    </xf>
    <xf numFmtId="0" fontId="49" fillId="2" borderId="8" xfId="0" applyFont="1" applyFill="1" applyBorder="1" applyAlignment="1" applyProtection="1">
      <alignment horizontal="center"/>
    </xf>
    <xf numFmtId="0" fontId="0" fillId="0" borderId="0" xfId="0" applyFill="1" applyBorder="1" applyProtection="1"/>
    <xf numFmtId="0" fontId="8" fillId="0" borderId="0" xfId="0" applyFont="1" applyFill="1" applyBorder="1" applyAlignment="1" applyProtection="1">
      <alignment textRotation="90"/>
    </xf>
    <xf numFmtId="0" fontId="11" fillId="0" borderId="0" xfId="0" applyFont="1" applyFill="1" applyBorder="1" applyAlignment="1">
      <alignment horizontal="left" vertical="center"/>
    </xf>
    <xf numFmtId="0" fontId="8" fillId="8" borderId="27" xfId="0" applyFont="1" applyFill="1" applyBorder="1" applyAlignment="1" applyProtection="1">
      <alignment horizontal="left" vertical="center"/>
    </xf>
    <xf numFmtId="0" fontId="8" fillId="8" borderId="27" xfId="0" applyFont="1" applyFill="1" applyBorder="1" applyAlignment="1" applyProtection="1">
      <alignment horizontal="left" vertical="center" wrapText="1"/>
    </xf>
    <xf numFmtId="0" fontId="8" fillId="8" borderId="19" xfId="0" applyFont="1" applyFill="1" applyBorder="1" applyAlignment="1" applyProtection="1">
      <alignment horizontal="left" vertical="center"/>
    </xf>
    <xf numFmtId="0" fontId="33" fillId="2" borderId="0" xfId="0" applyFont="1" applyFill="1" applyBorder="1" applyAlignment="1" applyProtection="1">
      <alignment vertical="center"/>
    </xf>
    <xf numFmtId="0" fontId="0" fillId="2" borderId="3" xfId="0" applyFill="1" applyBorder="1" applyProtection="1"/>
    <xf numFmtId="0" fontId="0" fillId="2" borderId="5" xfId="0" applyFill="1" applyBorder="1" applyProtection="1"/>
    <xf numFmtId="0" fontId="9" fillId="8" borderId="6" xfId="0" applyFont="1" applyFill="1" applyBorder="1" applyProtection="1"/>
    <xf numFmtId="3" fontId="9" fillId="2" borderId="64" xfId="0" applyNumberFormat="1" applyFont="1" applyFill="1" applyBorder="1" applyAlignment="1" applyProtection="1">
      <alignment horizontal="left" vertical="center" wrapText="1"/>
    </xf>
    <xf numFmtId="0" fontId="8" fillId="2" borderId="37" xfId="0" applyFont="1" applyFill="1" applyBorder="1" applyAlignment="1" applyProtection="1">
      <alignment horizontal="left" vertical="center"/>
    </xf>
    <xf numFmtId="0" fontId="0" fillId="2" borderId="0" xfId="0" applyFill="1" applyBorder="1"/>
    <xf numFmtId="3" fontId="54" fillId="0" borderId="0" xfId="0" applyNumberFormat="1"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3" fontId="54" fillId="2" borderId="0" xfId="0" applyNumberFormat="1" applyFont="1" applyFill="1" applyBorder="1" applyAlignment="1" applyProtection="1">
      <alignment horizontal="center" vertical="center"/>
    </xf>
    <xf numFmtId="0" fontId="14" fillId="2" borderId="5" xfId="0" applyFont="1" applyFill="1" applyBorder="1" applyAlignment="1" applyProtection="1">
      <alignment horizontal="right" vertical="center"/>
    </xf>
    <xf numFmtId="0" fontId="14" fillId="2" borderId="5" xfId="0" applyFont="1" applyFill="1" applyBorder="1" applyAlignment="1" applyProtection="1">
      <alignment horizontal="left" vertical="center"/>
    </xf>
    <xf numFmtId="0" fontId="0" fillId="2" borderId="7" xfId="0" applyFill="1" applyBorder="1"/>
    <xf numFmtId="3" fontId="60" fillId="5" borderId="21" xfId="0" applyNumberFormat="1" applyFont="1" applyFill="1" applyBorder="1" applyAlignment="1" applyProtection="1">
      <alignment horizontal="center" vertical="center"/>
    </xf>
    <xf numFmtId="3" fontId="60" fillId="5" borderId="23" xfId="0" applyNumberFormat="1" applyFont="1" applyFill="1" applyBorder="1" applyAlignment="1" applyProtection="1">
      <alignment horizontal="center" vertical="center"/>
    </xf>
    <xf numFmtId="3" fontId="61" fillId="8" borderId="23" xfId="0" applyNumberFormat="1" applyFont="1" applyFill="1" applyBorder="1" applyAlignment="1" applyProtection="1">
      <alignment horizontal="center" vertical="center"/>
    </xf>
    <xf numFmtId="3" fontId="61" fillId="8" borderId="26" xfId="0" applyNumberFormat="1" applyFont="1" applyFill="1" applyBorder="1" applyAlignment="1" applyProtection="1">
      <alignment horizontal="center" vertical="center"/>
    </xf>
    <xf numFmtId="0" fontId="18" fillId="2" borderId="0" xfId="0" applyFont="1" applyFill="1" applyBorder="1" applyAlignment="1" applyProtection="1">
      <alignment vertical="top" wrapText="1"/>
      <protection locked="0"/>
    </xf>
    <xf numFmtId="2" fontId="8" fillId="0" borderId="12" xfId="0" applyNumberFormat="1" applyFont="1" applyFill="1" applyBorder="1" applyAlignment="1">
      <alignment horizontal="center" vertical="center"/>
    </xf>
    <xf numFmtId="2" fontId="14" fillId="0" borderId="15" xfId="0" applyNumberFormat="1" applyFont="1" applyFill="1" applyBorder="1" applyAlignment="1">
      <alignment horizontal="center" vertical="center"/>
    </xf>
    <xf numFmtId="0" fontId="8" fillId="0" borderId="12" xfId="0" applyFont="1" applyFill="1" applyBorder="1" applyAlignment="1">
      <alignment horizontal="center" vertical="center"/>
    </xf>
    <xf numFmtId="0" fontId="8" fillId="0" borderId="10" xfId="0" applyFont="1" applyFill="1" applyBorder="1" applyAlignment="1">
      <alignment horizontal="center" vertical="center"/>
    </xf>
    <xf numFmtId="0" fontId="8" fillId="0" borderId="0" xfId="0" applyFont="1" applyAlignment="1" applyProtection="1">
      <alignment horizontal="center" vertical="center"/>
    </xf>
    <xf numFmtId="0" fontId="13" fillId="2" borderId="0" xfId="0" applyFont="1" applyFill="1" applyBorder="1" applyAlignment="1">
      <alignment horizontal="left" vertical="center"/>
    </xf>
    <xf numFmtId="0" fontId="45" fillId="0" borderId="0" xfId="0" applyFont="1" applyAlignment="1" applyProtection="1">
      <alignment horizontal="left"/>
    </xf>
    <xf numFmtId="0" fontId="9" fillId="2" borderId="0" xfId="0" applyFont="1" applyFill="1" applyBorder="1" applyProtection="1"/>
    <xf numFmtId="0" fontId="8" fillId="2" borderId="4" xfId="0" applyFont="1" applyFill="1" applyBorder="1" applyAlignment="1" applyProtection="1">
      <alignment vertical="top" wrapText="1"/>
    </xf>
    <xf numFmtId="0" fontId="8" fillId="2" borderId="5" xfId="0" applyFont="1" applyFill="1" applyBorder="1" applyAlignment="1" applyProtection="1">
      <alignment vertical="top" wrapText="1"/>
    </xf>
    <xf numFmtId="0" fontId="9" fillId="0" borderId="0" xfId="0" applyFont="1" applyFill="1" applyBorder="1" applyProtection="1"/>
    <xf numFmtId="0" fontId="24" fillId="0" borderId="0" xfId="1" applyFill="1" applyBorder="1" applyProtection="1"/>
    <xf numFmtId="0" fontId="14" fillId="2" borderId="0" xfId="0" applyFont="1" applyFill="1" applyBorder="1" applyAlignment="1" applyProtection="1">
      <alignment horizontal="left" vertical="center"/>
    </xf>
    <xf numFmtId="0" fontId="14" fillId="2" borderId="0" xfId="0" applyFont="1" applyFill="1" applyBorder="1" applyAlignment="1" applyProtection="1">
      <alignment horizontal="right" vertical="center"/>
    </xf>
    <xf numFmtId="0" fontId="14" fillId="2" borderId="78" xfId="0" applyFont="1" applyFill="1" applyBorder="1" applyAlignment="1" applyProtection="1">
      <alignment horizontal="right" vertical="center"/>
    </xf>
    <xf numFmtId="0" fontId="9" fillId="0" borderId="47" xfId="0" applyFont="1" applyBorder="1" applyAlignment="1" applyProtection="1">
      <alignment horizontal="left" vertical="center"/>
    </xf>
    <xf numFmtId="0" fontId="14" fillId="2" borderId="0" xfId="0" applyFont="1" applyFill="1" applyBorder="1" applyAlignment="1" applyProtection="1">
      <alignment horizontal="left" vertical="center"/>
    </xf>
    <xf numFmtId="0" fontId="14" fillId="2" borderId="78" xfId="0" applyFont="1" applyFill="1" applyBorder="1" applyAlignment="1" applyProtection="1">
      <alignment horizontal="left" vertical="center"/>
    </xf>
    <xf numFmtId="0" fontId="33" fillId="8" borderId="46" xfId="0" applyFont="1" applyFill="1" applyBorder="1" applyAlignment="1" applyProtection="1">
      <alignment horizontal="center" vertical="center"/>
    </xf>
    <xf numFmtId="0" fontId="8" fillId="0" borderId="21" xfId="0" applyFont="1" applyBorder="1" applyAlignment="1">
      <alignment horizontal="center"/>
    </xf>
    <xf numFmtId="3" fontId="14" fillId="2" borderId="22" xfId="0" applyNumberFormat="1" applyFont="1" applyFill="1" applyBorder="1" applyAlignment="1" applyProtection="1">
      <alignment horizontal="center" vertical="center"/>
    </xf>
    <xf numFmtId="3" fontId="14" fillId="2" borderId="23" xfId="0" applyNumberFormat="1" applyFont="1" applyFill="1" applyBorder="1" applyAlignment="1" applyProtection="1">
      <alignment horizontal="center" vertical="center"/>
    </xf>
    <xf numFmtId="0" fontId="8" fillId="0" borderId="0" xfId="0" applyFont="1" applyBorder="1" applyAlignment="1" applyProtection="1">
      <alignment horizontal="left" vertical="center"/>
    </xf>
    <xf numFmtId="0" fontId="8" fillId="0" borderId="1" xfId="0" applyFont="1" applyBorder="1" applyAlignment="1" applyProtection="1">
      <alignment horizontal="left" vertical="center"/>
    </xf>
    <xf numFmtId="0" fontId="8" fillId="0" borderId="2" xfId="0" applyFont="1" applyBorder="1" applyAlignment="1" applyProtection="1">
      <alignment horizontal="left" vertical="center"/>
    </xf>
    <xf numFmtId="0" fontId="8" fillId="0" borderId="3" xfId="0" applyFont="1" applyBorder="1" applyAlignment="1" applyProtection="1">
      <alignment horizontal="left" vertical="center"/>
    </xf>
    <xf numFmtId="0" fontId="8" fillId="0" borderId="4" xfId="0" applyFont="1" applyBorder="1" applyAlignment="1" applyProtection="1">
      <alignment horizontal="left" vertical="center"/>
    </xf>
    <xf numFmtId="0" fontId="8" fillId="0" borderId="5" xfId="0" applyFont="1" applyBorder="1" applyAlignment="1" applyProtection="1">
      <alignment horizontal="left" vertical="center"/>
    </xf>
    <xf numFmtId="0" fontId="8" fillId="0" borderId="6" xfId="0" applyFont="1" applyBorder="1" applyAlignment="1" applyProtection="1">
      <alignment horizontal="left" vertical="center"/>
    </xf>
    <xf numFmtId="2" fontId="8" fillId="0" borderId="7" xfId="0" applyNumberFormat="1" applyFont="1" applyBorder="1" applyAlignment="1" applyProtection="1">
      <alignment horizontal="left" vertical="center"/>
    </xf>
    <xf numFmtId="0" fontId="8" fillId="0" borderId="8" xfId="0" applyFont="1" applyBorder="1" applyAlignment="1" applyProtection="1">
      <alignment horizontal="left" vertical="center"/>
    </xf>
    <xf numFmtId="0" fontId="8" fillId="8" borderId="59" xfId="0" applyFont="1" applyFill="1" applyBorder="1" applyAlignment="1" applyProtection="1">
      <alignment horizontal="left" vertical="center"/>
    </xf>
    <xf numFmtId="0" fontId="26" fillId="2" borderId="75" xfId="0" applyFont="1" applyFill="1" applyBorder="1" applyAlignment="1" applyProtection="1">
      <alignment horizontal="center" vertical="center" wrapText="1"/>
    </xf>
    <xf numFmtId="0" fontId="9" fillId="2" borderId="73" xfId="0" applyFont="1" applyFill="1" applyBorder="1" applyAlignment="1" applyProtection="1">
      <alignment horizontal="center" vertical="center" wrapText="1"/>
    </xf>
    <xf numFmtId="0" fontId="33" fillId="8" borderId="22" xfId="0" applyFont="1" applyFill="1" applyBorder="1" applyAlignment="1" applyProtection="1">
      <alignment horizontal="left" vertical="center"/>
    </xf>
    <xf numFmtId="0" fontId="33" fillId="8" borderId="12" xfId="0" applyFont="1" applyFill="1" applyBorder="1" applyAlignment="1" applyProtection="1">
      <alignment horizontal="left" vertical="center"/>
    </xf>
    <xf numFmtId="0" fontId="33" fillId="8" borderId="24" xfId="0" applyFont="1" applyFill="1" applyBorder="1" applyAlignment="1" applyProtection="1">
      <alignment horizontal="left" vertical="center"/>
    </xf>
    <xf numFmtId="0" fontId="33" fillId="8" borderId="25" xfId="0" applyFont="1" applyFill="1" applyBorder="1" applyAlignment="1" applyProtection="1">
      <alignment horizontal="left" vertical="center"/>
    </xf>
    <xf numFmtId="0" fontId="45" fillId="9" borderId="79" xfId="0" applyFont="1" applyFill="1" applyBorder="1" applyAlignment="1" applyProtection="1">
      <alignment horizontal="center" vertical="center"/>
    </xf>
    <xf numFmtId="0" fontId="33" fillId="5" borderId="25" xfId="0" applyFont="1" applyFill="1" applyBorder="1" applyAlignment="1" applyProtection="1">
      <alignment horizontal="center" vertical="center"/>
    </xf>
    <xf numFmtId="0" fontId="14" fillId="2" borderId="74" xfId="0" applyFont="1" applyFill="1" applyBorder="1" applyAlignment="1" applyProtection="1">
      <alignment horizontal="left" vertical="center"/>
    </xf>
    <xf numFmtId="0" fontId="33" fillId="5" borderId="24" xfId="0" applyFont="1" applyFill="1" applyBorder="1" applyAlignment="1" applyProtection="1">
      <alignment horizontal="center" vertical="center"/>
    </xf>
    <xf numFmtId="3" fontId="14" fillId="8" borderId="58" xfId="0" applyNumberFormat="1" applyFont="1" applyFill="1" applyBorder="1" applyAlignment="1" applyProtection="1">
      <alignment horizontal="center" vertical="center"/>
    </xf>
    <xf numFmtId="3" fontId="14" fillId="8" borderId="60" xfId="0" applyNumberFormat="1" applyFont="1" applyFill="1" applyBorder="1" applyAlignment="1" applyProtection="1">
      <alignment horizontal="center" vertical="center"/>
    </xf>
    <xf numFmtId="3" fontId="14" fillId="8" borderId="55" xfId="0" applyNumberFormat="1" applyFont="1" applyFill="1" applyBorder="1" applyAlignment="1" applyProtection="1">
      <alignment horizontal="center" vertical="center"/>
    </xf>
    <xf numFmtId="0" fontId="8" fillId="0" borderId="6" xfId="0" applyFont="1" applyBorder="1" applyAlignment="1" applyProtection="1">
      <alignment horizontal="left" vertical="center" wrapText="1"/>
    </xf>
    <xf numFmtId="0" fontId="8" fillId="2" borderId="50" xfId="0" applyFont="1" applyFill="1" applyBorder="1" applyAlignment="1" applyProtection="1">
      <alignment horizontal="center" vertical="center"/>
    </xf>
    <xf numFmtId="0" fontId="8" fillId="0" borderId="20" xfId="0" applyFont="1" applyBorder="1" applyAlignment="1">
      <alignment horizontal="center" vertical="center"/>
    </xf>
    <xf numFmtId="0" fontId="8" fillId="0" borderId="21" xfId="0" applyFont="1" applyBorder="1" applyAlignment="1">
      <alignment horizontal="center" vertical="center"/>
    </xf>
    <xf numFmtId="0" fontId="8" fillId="0" borderId="23" xfId="0" applyFont="1" applyFill="1" applyBorder="1"/>
    <xf numFmtId="0" fontId="8" fillId="0" borderId="25" xfId="0" applyFont="1" applyBorder="1"/>
    <xf numFmtId="9" fontId="8" fillId="0" borderId="12" xfId="0" applyNumberFormat="1" applyFont="1" applyBorder="1"/>
    <xf numFmtId="9" fontId="8" fillId="0" borderId="25" xfId="0" applyNumberFormat="1" applyFont="1" applyBorder="1"/>
    <xf numFmtId="0" fontId="9" fillId="11" borderId="65" xfId="0" applyFont="1" applyFill="1" applyBorder="1" applyAlignment="1">
      <alignment horizontal="center"/>
    </xf>
    <xf numFmtId="0" fontId="9" fillId="11" borderId="63" xfId="0" applyFont="1" applyFill="1" applyBorder="1" applyAlignment="1">
      <alignment horizontal="center"/>
    </xf>
    <xf numFmtId="0" fontId="9" fillId="11" borderId="43" xfId="0" applyFont="1" applyFill="1" applyBorder="1" applyAlignment="1">
      <alignment horizontal="center"/>
    </xf>
    <xf numFmtId="0" fontId="9" fillId="11" borderId="44" xfId="0" applyFont="1" applyFill="1" applyBorder="1" applyAlignment="1">
      <alignment horizontal="center"/>
    </xf>
    <xf numFmtId="0" fontId="8" fillId="0" borderId="30" xfId="0" applyFont="1" applyBorder="1" applyAlignment="1">
      <alignment wrapText="1"/>
    </xf>
    <xf numFmtId="0" fontId="8" fillId="0" borderId="19" xfId="0" applyFont="1" applyFill="1" applyBorder="1" applyAlignment="1">
      <alignment horizontal="center" wrapText="1"/>
    </xf>
    <xf numFmtId="0" fontId="8" fillId="0" borderId="20" xfId="0" applyFont="1" applyFill="1" applyBorder="1" applyAlignment="1">
      <alignment horizontal="center" wrapText="1"/>
    </xf>
    <xf numFmtId="0" fontId="8" fillId="0" borderId="20" xfId="0" applyFont="1" applyFill="1" applyBorder="1" applyAlignment="1">
      <alignment horizontal="center"/>
    </xf>
    <xf numFmtId="1" fontId="8" fillId="0" borderId="17" xfId="0" applyNumberFormat="1" applyFont="1" applyBorder="1" applyAlignment="1">
      <alignment horizontal="center"/>
    </xf>
    <xf numFmtId="2" fontId="8" fillId="0" borderId="45" xfId="0" applyNumberFormat="1" applyFont="1" applyBorder="1" applyAlignment="1">
      <alignment horizontal="center"/>
    </xf>
    <xf numFmtId="3" fontId="8" fillId="8" borderId="26" xfId="0" applyNumberFormat="1" applyFont="1" applyFill="1" applyBorder="1" applyAlignment="1">
      <alignment horizontal="center" vertical="center"/>
    </xf>
    <xf numFmtId="0" fontId="9" fillId="11" borderId="66" xfId="0" applyFont="1" applyFill="1" applyBorder="1" applyAlignment="1">
      <alignment horizontal="center"/>
    </xf>
    <xf numFmtId="0" fontId="9" fillId="11" borderId="45" xfId="0" applyFont="1" applyFill="1" applyBorder="1" applyAlignment="1">
      <alignment horizontal="center"/>
    </xf>
    <xf numFmtId="3" fontId="9" fillId="2" borderId="76" xfId="0" applyNumberFormat="1" applyFont="1" applyFill="1" applyBorder="1" applyAlignment="1">
      <alignment horizontal="center" vertical="center"/>
    </xf>
    <xf numFmtId="0" fontId="26" fillId="2" borderId="70" xfId="0" applyFont="1" applyFill="1" applyBorder="1" applyAlignment="1" applyProtection="1">
      <alignment vertical="center" wrapText="1"/>
    </xf>
    <xf numFmtId="0" fontId="45" fillId="8" borderId="2" xfId="0" applyFont="1" applyFill="1" applyBorder="1" applyAlignment="1" applyProtection="1">
      <alignment vertical="center" wrapText="1"/>
    </xf>
    <xf numFmtId="3" fontId="14" fillId="2" borderId="12" xfId="0" applyNumberFormat="1" applyFont="1" applyFill="1" applyBorder="1" applyAlignment="1" applyProtection="1">
      <alignment horizontal="center" vertical="center"/>
    </xf>
    <xf numFmtId="0" fontId="50" fillId="8" borderId="1" xfId="0" applyFont="1" applyFill="1" applyBorder="1" applyAlignment="1" applyProtection="1">
      <alignment vertical="center"/>
    </xf>
    <xf numFmtId="0" fontId="50" fillId="8" borderId="2" xfId="0" applyFont="1" applyFill="1" applyBorder="1" applyAlignment="1" applyProtection="1">
      <alignment vertical="center"/>
    </xf>
    <xf numFmtId="0" fontId="50" fillId="8" borderId="3" xfId="0" applyFont="1" applyFill="1" applyBorder="1" applyAlignment="1" applyProtection="1">
      <alignment vertical="center"/>
    </xf>
    <xf numFmtId="0" fontId="8" fillId="2" borderId="4" xfId="0" applyFont="1" applyFill="1" applyBorder="1"/>
    <xf numFmtId="0" fontId="8" fillId="2" borderId="5" xfId="0" applyFont="1" applyFill="1" applyBorder="1"/>
    <xf numFmtId="3" fontId="8" fillId="8" borderId="24" xfId="0" applyNumberFormat="1" applyFont="1" applyFill="1" applyBorder="1" applyAlignment="1">
      <alignment horizontal="center" vertical="center"/>
    </xf>
    <xf numFmtId="3" fontId="8" fillId="8" borderId="25" xfId="0" applyNumberFormat="1" applyFont="1" applyFill="1" applyBorder="1" applyAlignment="1">
      <alignment horizontal="center" vertical="center"/>
    </xf>
    <xf numFmtId="0" fontId="45" fillId="8" borderId="1" xfId="0" applyFont="1" applyFill="1" applyBorder="1" applyAlignment="1" applyProtection="1">
      <alignment vertical="center" wrapText="1"/>
    </xf>
    <xf numFmtId="3" fontId="14" fillId="8" borderId="27" xfId="0" applyNumberFormat="1" applyFont="1" applyFill="1" applyBorder="1" applyAlignment="1" applyProtection="1">
      <alignment horizontal="center" vertical="center"/>
    </xf>
    <xf numFmtId="3" fontId="14" fillId="8" borderId="15" xfId="0" applyNumberFormat="1" applyFont="1" applyFill="1" applyBorder="1" applyAlignment="1" applyProtection="1">
      <alignment horizontal="center" vertical="center"/>
    </xf>
    <xf numFmtId="0" fontId="56" fillId="8" borderId="1" xfId="0" applyFont="1" applyFill="1" applyBorder="1" applyAlignment="1" applyProtection="1">
      <alignment horizontal="left" vertical="top" wrapText="1"/>
    </xf>
    <xf numFmtId="0" fontId="14" fillId="8" borderId="46" xfId="0" applyFont="1" applyFill="1" applyBorder="1" applyAlignment="1" applyProtection="1">
      <alignment horizontal="left" vertical="center"/>
    </xf>
    <xf numFmtId="3" fontId="14" fillId="8" borderId="21" xfId="0" applyNumberFormat="1" applyFont="1" applyFill="1" applyBorder="1" applyAlignment="1" applyProtection="1">
      <alignment horizontal="center" vertical="center"/>
    </xf>
    <xf numFmtId="0" fontId="9" fillId="2" borderId="6" xfId="0" applyFont="1" applyFill="1" applyBorder="1"/>
    <xf numFmtId="0" fontId="8" fillId="2" borderId="8" xfId="0" applyFont="1" applyFill="1" applyBorder="1"/>
    <xf numFmtId="3" fontId="14" fillId="2" borderId="26" xfId="0" applyNumberFormat="1" applyFont="1" applyFill="1" applyBorder="1" applyAlignment="1" applyProtection="1">
      <alignment horizontal="center" vertical="center"/>
    </xf>
    <xf numFmtId="0" fontId="8" fillId="11" borderId="19" xfId="0" applyFont="1" applyFill="1" applyBorder="1" applyAlignment="1">
      <alignment horizontal="left" vertical="center" wrapText="1"/>
    </xf>
    <xf numFmtId="0" fontId="8" fillId="11" borderId="22" xfId="0" applyFont="1" applyFill="1" applyBorder="1" applyAlignment="1">
      <alignment horizontal="left" vertical="center" wrapText="1"/>
    </xf>
    <xf numFmtId="0" fontId="8" fillId="11" borderId="24" xfId="0" applyFont="1" applyFill="1" applyBorder="1" applyAlignment="1">
      <alignment horizontal="left" vertical="center" wrapText="1"/>
    </xf>
    <xf numFmtId="0" fontId="9" fillId="2" borderId="40" xfId="0" applyFont="1" applyFill="1" applyBorder="1" applyAlignment="1">
      <alignment horizontal="left" vertical="center" wrapText="1"/>
    </xf>
    <xf numFmtId="0" fontId="9" fillId="2" borderId="43" xfId="0" applyFont="1" applyFill="1" applyBorder="1" applyAlignment="1">
      <alignment horizontal="left" vertical="center" wrapText="1"/>
    </xf>
    <xf numFmtId="0" fontId="8" fillId="2" borderId="27" xfId="0" applyFont="1" applyFill="1" applyBorder="1" applyAlignment="1">
      <alignment horizontal="left" vertical="center"/>
    </xf>
    <xf numFmtId="0" fontId="8" fillId="2" borderId="22" xfId="0" applyFont="1" applyFill="1" applyBorder="1" applyAlignment="1">
      <alignment horizontal="left" vertical="center"/>
    </xf>
    <xf numFmtId="0" fontId="17" fillId="2" borderId="59" xfId="0" applyFont="1" applyFill="1" applyBorder="1" applyAlignment="1">
      <alignment horizontal="left" vertical="center"/>
    </xf>
    <xf numFmtId="0" fontId="9" fillId="2" borderId="40" xfId="0" applyFont="1" applyFill="1" applyBorder="1" applyAlignment="1">
      <alignment horizontal="left" vertical="center"/>
    </xf>
    <xf numFmtId="0" fontId="9" fillId="2" borderId="52" xfId="0" applyFont="1" applyFill="1" applyBorder="1" applyAlignment="1">
      <alignment horizontal="left" vertical="center"/>
    </xf>
    <xf numFmtId="0" fontId="9" fillId="2" borderId="53" xfId="0" applyFont="1" applyFill="1" applyBorder="1" applyAlignment="1">
      <alignment horizontal="left" vertical="center"/>
    </xf>
    <xf numFmtId="0" fontId="9" fillId="2" borderId="76" xfId="0" applyFont="1" applyFill="1" applyBorder="1" applyAlignment="1">
      <alignment horizontal="left" vertical="center"/>
    </xf>
    <xf numFmtId="3" fontId="14" fillId="2" borderId="34" xfId="0" applyNumberFormat="1" applyFont="1" applyFill="1" applyBorder="1" applyAlignment="1" applyProtection="1">
      <alignment horizontal="center" vertical="center"/>
    </xf>
    <xf numFmtId="3" fontId="14" fillId="2" borderId="16" xfId="0" applyNumberFormat="1" applyFont="1" applyFill="1" applyBorder="1" applyAlignment="1" applyProtection="1">
      <alignment horizontal="center" vertical="center"/>
    </xf>
    <xf numFmtId="0" fontId="14" fillId="2" borderId="64" xfId="0" applyFont="1" applyFill="1" applyBorder="1" applyAlignment="1" applyProtection="1">
      <alignment horizontal="center" vertical="center"/>
    </xf>
    <xf numFmtId="2" fontId="14" fillId="2" borderId="35" xfId="0" applyNumberFormat="1" applyFont="1" applyFill="1" applyBorder="1" applyAlignment="1" applyProtection="1">
      <alignment horizontal="center" vertical="center"/>
    </xf>
    <xf numFmtId="0" fontId="14" fillId="2" borderId="7" xfId="0" applyFont="1" applyFill="1" applyBorder="1" applyAlignment="1" applyProtection="1">
      <alignment horizontal="center" vertical="center"/>
    </xf>
    <xf numFmtId="0" fontId="33" fillId="2" borderId="30" xfId="0" applyFont="1" applyFill="1" applyBorder="1" applyAlignment="1" applyProtection="1">
      <alignment horizontal="center" vertical="center"/>
    </xf>
    <xf numFmtId="3" fontId="33" fillId="2" borderId="33" xfId="0" applyNumberFormat="1" applyFont="1" applyFill="1" applyBorder="1" applyAlignment="1" applyProtection="1">
      <alignment horizontal="center" vertical="center"/>
    </xf>
    <xf numFmtId="2" fontId="33" fillId="2" borderId="31" xfId="0" applyNumberFormat="1" applyFont="1" applyFill="1" applyBorder="1" applyAlignment="1" applyProtection="1">
      <alignment horizontal="center" vertical="center"/>
    </xf>
    <xf numFmtId="0" fontId="33" fillId="2" borderId="64" xfId="0" applyFont="1" applyFill="1" applyBorder="1" applyAlignment="1" applyProtection="1">
      <alignment horizontal="center" vertical="center"/>
    </xf>
    <xf numFmtId="0" fontId="0" fillId="2" borderId="0" xfId="0" applyFill="1"/>
    <xf numFmtId="0" fontId="8" fillId="2" borderId="24" xfId="0" applyFont="1" applyFill="1" applyBorder="1" applyAlignment="1" applyProtection="1">
      <alignment horizontal="left" vertical="center"/>
    </xf>
    <xf numFmtId="0" fontId="13" fillId="2" borderId="19" xfId="0" applyFont="1" applyFill="1" applyBorder="1" applyAlignment="1" applyProtection="1">
      <alignment horizontal="center" vertical="center" wrapText="1"/>
    </xf>
    <xf numFmtId="0" fontId="13" fillId="2" borderId="21" xfId="0" applyFont="1" applyFill="1" applyBorder="1" applyAlignment="1" applyProtection="1">
      <alignment horizontal="center" vertical="center" wrapText="1"/>
    </xf>
    <xf numFmtId="3" fontId="8" fillId="8" borderId="22" xfId="0" applyNumberFormat="1" applyFont="1" applyFill="1" applyBorder="1" applyAlignment="1" applyProtection="1">
      <alignment horizontal="center" vertical="center"/>
    </xf>
    <xf numFmtId="3" fontId="8" fillId="8" borderId="23" xfId="0" applyNumberFormat="1" applyFont="1" applyFill="1" applyBorder="1" applyAlignment="1" applyProtection="1">
      <alignment horizontal="center" vertical="center"/>
    </xf>
    <xf numFmtId="0" fontId="8" fillId="2" borderId="0" xfId="0" applyFont="1" applyFill="1" applyBorder="1" applyAlignment="1" applyProtection="1">
      <alignment horizontal="right" vertical="center"/>
    </xf>
    <xf numFmtId="0" fontId="8" fillId="8" borderId="0" xfId="0" applyFont="1" applyFill="1" applyBorder="1" applyAlignment="1" applyProtection="1">
      <alignment horizontal="right" vertical="center"/>
    </xf>
    <xf numFmtId="3" fontId="14" fillId="2" borderId="20" xfId="0" applyNumberFormat="1" applyFont="1" applyFill="1" applyBorder="1" applyAlignment="1" applyProtection="1">
      <alignment horizontal="center" vertical="center"/>
    </xf>
    <xf numFmtId="3" fontId="33" fillId="2" borderId="21" xfId="0" applyNumberFormat="1" applyFont="1" applyFill="1" applyBorder="1" applyAlignment="1" applyProtection="1">
      <alignment horizontal="center" vertical="center"/>
    </xf>
    <xf numFmtId="3" fontId="9" fillId="2" borderId="23" xfId="0" applyNumberFormat="1" applyFont="1" applyFill="1" applyBorder="1" applyAlignment="1">
      <alignment horizontal="center" vertical="center"/>
    </xf>
    <xf numFmtId="3" fontId="33" fillId="2" borderId="23" xfId="0" applyNumberFormat="1" applyFont="1" applyFill="1" applyBorder="1" applyAlignment="1" applyProtection="1">
      <alignment horizontal="center" vertical="center"/>
    </xf>
    <xf numFmtId="0" fontId="14" fillId="2" borderId="58" xfId="0" applyFont="1" applyFill="1" applyBorder="1" applyAlignment="1" applyProtection="1">
      <alignment horizontal="left" vertical="center"/>
    </xf>
    <xf numFmtId="2" fontId="33" fillId="2" borderId="55" xfId="0" applyNumberFormat="1" applyFont="1" applyFill="1" applyBorder="1" applyAlignment="1" applyProtection="1">
      <alignment horizontal="center" vertical="center"/>
    </xf>
    <xf numFmtId="0" fontId="33" fillId="2" borderId="42" xfId="0" applyFont="1" applyFill="1" applyBorder="1" applyAlignment="1" applyProtection="1">
      <alignment horizontal="center" vertical="center"/>
    </xf>
    <xf numFmtId="0" fontId="0" fillId="8" borderId="22" xfId="0" applyFill="1" applyBorder="1" applyAlignment="1" applyProtection="1">
      <alignment horizontal="left" vertical="center"/>
    </xf>
    <xf numFmtId="0" fontId="14" fillId="2" borderId="37" xfId="0" applyFont="1" applyFill="1" applyBorder="1" applyAlignment="1" applyProtection="1">
      <alignment horizontal="left" vertical="center"/>
    </xf>
    <xf numFmtId="0" fontId="14" fillId="2" borderId="39" xfId="0" applyFont="1" applyFill="1" applyBorder="1" applyAlignment="1" applyProtection="1">
      <alignment horizontal="left" vertical="center"/>
    </xf>
    <xf numFmtId="0" fontId="14" fillId="8" borderId="6" xfId="0" applyFont="1" applyFill="1" applyBorder="1" applyAlignment="1" applyProtection="1">
      <alignment horizontal="left" vertical="center"/>
    </xf>
    <xf numFmtId="3" fontId="14" fillId="8" borderId="24" xfId="0" applyNumberFormat="1" applyFont="1" applyFill="1" applyBorder="1" applyAlignment="1" applyProtection="1">
      <alignment horizontal="center" vertical="center"/>
    </xf>
    <xf numFmtId="3" fontId="14" fillId="8" borderId="25" xfId="0" applyNumberFormat="1" applyFont="1" applyFill="1" applyBorder="1" applyAlignment="1" applyProtection="1">
      <alignment horizontal="center" vertical="center"/>
    </xf>
    <xf numFmtId="0" fontId="8" fillId="2" borderId="20" xfId="0" applyFont="1" applyFill="1" applyBorder="1" applyAlignment="1">
      <alignment horizontal="center" vertical="center"/>
    </xf>
    <xf numFmtId="0" fontId="8" fillId="2" borderId="21" xfId="0" applyFont="1" applyFill="1" applyBorder="1" applyAlignment="1">
      <alignment horizontal="center" vertical="center"/>
    </xf>
    <xf numFmtId="0" fontId="8" fillId="2" borderId="3" xfId="0" applyFont="1" applyFill="1" applyBorder="1"/>
    <xf numFmtId="0" fontId="0" fillId="0" borderId="0" xfId="0" applyAlignment="1">
      <alignment horizontal="center" vertical="center"/>
    </xf>
    <xf numFmtId="0" fontId="45" fillId="0" borderId="0" xfId="0" applyFont="1" applyAlignment="1" applyProtection="1">
      <alignment horizontal="center"/>
    </xf>
    <xf numFmtId="0" fontId="8" fillId="2" borderId="0" xfId="0" applyFont="1" applyFill="1" applyBorder="1" applyAlignment="1" applyProtection="1">
      <alignment horizontal="left" vertical="top" wrapText="1"/>
    </xf>
    <xf numFmtId="0" fontId="9" fillId="2" borderId="2" xfId="0" applyFont="1" applyFill="1" applyBorder="1" applyAlignment="1" applyProtection="1">
      <alignment horizontal="left" vertical="top" wrapText="1"/>
    </xf>
    <xf numFmtId="1" fontId="0" fillId="0" borderId="0" xfId="0" applyNumberFormat="1"/>
    <xf numFmtId="164" fontId="0" fillId="0" borderId="0" xfId="0" applyNumberFormat="1"/>
    <xf numFmtId="0" fontId="0" fillId="0" borderId="1" xfId="0" applyBorder="1"/>
    <xf numFmtId="0" fontId="0" fillId="0" borderId="3" xfId="0" applyBorder="1" applyAlignment="1">
      <alignment horizontal="center" vertical="center"/>
    </xf>
    <xf numFmtId="0" fontId="0" fillId="0" borderId="4" xfId="0" applyBorder="1"/>
    <xf numFmtId="0" fontId="0" fillId="0" borderId="0" xfId="0" applyBorder="1" applyAlignment="1">
      <alignment horizontal="center" vertical="center"/>
    </xf>
    <xf numFmtId="0" fontId="0" fillId="0" borderId="5" xfId="0" applyBorder="1" applyAlignment="1">
      <alignment horizontal="center" vertical="center"/>
    </xf>
    <xf numFmtId="0" fontId="0" fillId="0" borderId="6" xfId="0" applyBorder="1"/>
    <xf numFmtId="0" fontId="0" fillId="0" borderId="7" xfId="0" applyBorder="1" applyAlignment="1">
      <alignment horizontal="center" vertical="center"/>
    </xf>
    <xf numFmtId="0" fontId="0" fillId="0" borderId="8" xfId="0" applyBorder="1" applyAlignment="1">
      <alignment horizontal="center" vertical="center"/>
    </xf>
    <xf numFmtId="2" fontId="0" fillId="6" borderId="0" xfId="0" applyNumberFormat="1" applyFill="1"/>
    <xf numFmtId="1" fontId="0" fillId="6" borderId="0" xfId="0" applyNumberFormat="1" applyFill="1"/>
    <xf numFmtId="0" fontId="0" fillId="3" borderId="0" xfId="0" applyFill="1" applyProtection="1">
      <protection locked="0"/>
    </xf>
    <xf numFmtId="0" fontId="0" fillId="3" borderId="2" xfId="0" applyFill="1" applyBorder="1" applyAlignment="1" applyProtection="1">
      <alignment horizontal="center" vertical="center"/>
      <protection locked="0"/>
    </xf>
    <xf numFmtId="0" fontId="0" fillId="0" borderId="4" xfId="0" applyBorder="1" applyProtection="1"/>
    <xf numFmtId="0" fontId="0" fillId="0" borderId="0" xfId="0" applyBorder="1" applyProtection="1"/>
    <xf numFmtId="0" fontId="14" fillId="0" borderId="5" xfId="0" applyFont="1" applyFill="1" applyBorder="1" applyProtection="1"/>
    <xf numFmtId="0" fontId="0" fillId="0" borderId="4" xfId="0" applyBorder="1" applyAlignment="1" applyProtection="1">
      <alignment horizontal="right" vertical="center"/>
    </xf>
    <xf numFmtId="0" fontId="0" fillId="0" borderId="0" xfId="0" applyBorder="1" applyAlignment="1" applyProtection="1">
      <alignment horizontal="center" vertical="center"/>
    </xf>
    <xf numFmtId="0" fontId="0" fillId="0" borderId="0" xfId="0" applyBorder="1" applyAlignment="1" applyProtection="1">
      <alignment horizontal="right" vertical="center"/>
    </xf>
    <xf numFmtId="0" fontId="0" fillId="0" borderId="0" xfId="0" applyFill="1" applyBorder="1" applyAlignment="1" applyProtection="1">
      <alignment horizontal="center" vertical="center"/>
    </xf>
    <xf numFmtId="1" fontId="0" fillId="0" borderId="0" xfId="0" applyNumberFormat="1" applyFill="1" applyBorder="1" applyAlignment="1" applyProtection="1">
      <alignment horizontal="center" vertical="center"/>
    </xf>
    <xf numFmtId="0" fontId="0" fillId="0" borderId="4" xfId="0" applyBorder="1" applyAlignment="1">
      <alignment horizontal="right" vertical="center"/>
    </xf>
    <xf numFmtId="1" fontId="0" fillId="0" borderId="0" xfId="0" applyNumberFormat="1" applyBorder="1" applyAlignment="1">
      <alignment horizontal="center" vertical="center"/>
    </xf>
    <xf numFmtId="0" fontId="0" fillId="0" borderId="0" xfId="0" applyBorder="1" applyAlignment="1">
      <alignment horizontal="right"/>
    </xf>
    <xf numFmtId="1" fontId="14" fillId="0" borderId="0" xfId="0" applyNumberFormat="1" applyFont="1" applyBorder="1" applyAlignment="1" applyProtection="1">
      <alignment horizontal="center" vertical="center"/>
    </xf>
    <xf numFmtId="0" fontId="14" fillId="0" borderId="5" xfId="0" applyFont="1" applyBorder="1" applyProtection="1"/>
    <xf numFmtId="0" fontId="14" fillId="0" borderId="4" xfId="0" applyFont="1" applyBorder="1" applyProtection="1"/>
    <xf numFmtId="0" fontId="14" fillId="0" borderId="0" xfId="0" applyFont="1" applyBorder="1" applyAlignment="1" applyProtection="1">
      <alignment horizontal="center" vertical="center"/>
    </xf>
    <xf numFmtId="0" fontId="14" fillId="0" borderId="7" xfId="0" applyFont="1" applyBorder="1" applyProtection="1"/>
    <xf numFmtId="0" fontId="14" fillId="0" borderId="8" xfId="0" applyFont="1" applyBorder="1" applyProtection="1"/>
    <xf numFmtId="0" fontId="33" fillId="9" borderId="37" xfId="0" applyFont="1" applyFill="1" applyBorder="1" applyAlignment="1" applyProtection="1">
      <alignment horizontal="left" vertical="center"/>
    </xf>
    <xf numFmtId="0" fontId="14" fillId="0" borderId="2" xfId="0" applyFont="1" applyFill="1" applyBorder="1" applyAlignment="1" applyProtection="1">
      <alignment horizontal="center" vertical="center"/>
    </xf>
    <xf numFmtId="0" fontId="41" fillId="2" borderId="0" xfId="0" applyFont="1" applyFill="1" applyBorder="1" applyAlignment="1" applyProtection="1">
      <alignment horizontal="left" vertical="top"/>
    </xf>
    <xf numFmtId="0" fontId="45" fillId="9" borderId="72" xfId="0" applyFont="1" applyFill="1" applyBorder="1" applyAlignment="1" applyProtection="1">
      <alignment horizontal="center" vertical="center"/>
    </xf>
    <xf numFmtId="1" fontId="0" fillId="0" borderId="0" xfId="0" applyNumberFormat="1" applyBorder="1" applyAlignment="1" applyProtection="1">
      <alignment horizontal="center" vertical="center"/>
    </xf>
    <xf numFmtId="0" fontId="0" fillId="0" borderId="0" xfId="0" applyBorder="1" applyAlignment="1">
      <alignment horizontal="right" vertical="center"/>
    </xf>
    <xf numFmtId="0" fontId="19" fillId="0" borderId="0" xfId="0" applyFont="1" applyBorder="1" applyAlignment="1" applyProtection="1">
      <alignment horizontal="center" vertical="center" wrapText="1"/>
    </xf>
    <xf numFmtId="164" fontId="14" fillId="7" borderId="12" xfId="0" applyNumberFormat="1" applyFont="1" applyFill="1" applyBorder="1" applyAlignment="1" applyProtection="1">
      <alignment horizontal="center" vertical="center"/>
    </xf>
    <xf numFmtId="0" fontId="8" fillId="0" borderId="1" xfId="0" applyFont="1" applyBorder="1"/>
    <xf numFmtId="0" fontId="8" fillId="0" borderId="3" xfId="0" applyFont="1" applyFill="1" applyBorder="1" applyProtection="1"/>
    <xf numFmtId="0" fontId="8" fillId="0" borderId="4" xfId="0" applyFont="1" applyBorder="1"/>
    <xf numFmtId="0" fontId="8" fillId="0" borderId="5" xfId="0" applyFont="1" applyFill="1" applyBorder="1" applyProtection="1"/>
    <xf numFmtId="0" fontId="8" fillId="0" borderId="6" xfId="0" applyFont="1" applyBorder="1"/>
    <xf numFmtId="0" fontId="0" fillId="0" borderId="7" xfId="0" applyBorder="1" applyAlignment="1">
      <alignment horizontal="right" vertical="center"/>
    </xf>
    <xf numFmtId="2" fontId="14" fillId="0" borderId="7" xfId="0" applyNumberFormat="1" applyFont="1" applyBorder="1" applyAlignment="1" applyProtection="1">
      <alignment horizontal="center" vertical="center"/>
    </xf>
    <xf numFmtId="0" fontId="8" fillId="0" borderId="7" xfId="0" applyFont="1" applyBorder="1"/>
    <xf numFmtId="0" fontId="8" fillId="0" borderId="8" xfId="0" applyFont="1" applyFill="1" applyBorder="1" applyProtection="1"/>
    <xf numFmtId="2" fontId="8" fillId="2" borderId="24" xfId="0" applyNumberFormat="1" applyFont="1" applyFill="1" applyBorder="1" applyAlignment="1">
      <alignment horizontal="center" vertical="center"/>
    </xf>
    <xf numFmtId="2" fontId="8" fillId="2" borderId="25" xfId="0" applyNumberFormat="1" applyFont="1" applyFill="1" applyBorder="1" applyAlignment="1">
      <alignment horizontal="center" vertical="center"/>
    </xf>
    <xf numFmtId="2" fontId="8" fillId="2" borderId="26" xfId="0" applyNumberFormat="1" applyFont="1" applyFill="1" applyBorder="1" applyAlignment="1">
      <alignment horizontal="center" vertical="center"/>
    </xf>
    <xf numFmtId="0" fontId="12" fillId="0" borderId="0" xfId="0" applyFont="1" applyFill="1" applyBorder="1"/>
    <xf numFmtId="1" fontId="14" fillId="0" borderId="15" xfId="0" applyNumberFormat="1" applyFont="1" applyFill="1" applyBorder="1" applyAlignment="1">
      <alignment horizontal="center" vertical="center"/>
    </xf>
    <xf numFmtId="0" fontId="14" fillId="2" borderId="0" xfId="0" applyFont="1" applyFill="1" applyBorder="1" applyAlignment="1" applyProtection="1">
      <alignment horizontal="center" vertical="center"/>
    </xf>
    <xf numFmtId="0" fontId="14" fillId="2" borderId="2" xfId="0" applyFont="1" applyFill="1" applyBorder="1" applyAlignment="1" applyProtection="1">
      <alignment horizontal="center" vertical="center"/>
    </xf>
    <xf numFmtId="0" fontId="18" fillId="2" borderId="0" xfId="0" applyFont="1" applyFill="1" applyBorder="1" applyProtection="1"/>
    <xf numFmtId="0" fontId="14" fillId="2" borderId="7" xfId="0" applyFont="1" applyFill="1" applyBorder="1" applyAlignment="1">
      <alignment horizontal="center" vertical="center"/>
    </xf>
    <xf numFmtId="0" fontId="14" fillId="0" borderId="0" xfId="0" applyFont="1" applyAlignment="1" applyProtection="1">
      <alignment horizontal="left" vertical="top"/>
    </xf>
    <xf numFmtId="0" fontId="14" fillId="0" borderId="0" xfId="0" applyFont="1" applyFill="1" applyAlignment="1" applyProtection="1">
      <alignment horizontal="left" vertical="center"/>
    </xf>
    <xf numFmtId="165" fontId="8" fillId="11" borderId="19" xfId="0" applyNumberFormat="1" applyFont="1" applyFill="1" applyBorder="1" applyAlignment="1">
      <alignment horizontal="center" vertical="center"/>
    </xf>
    <xf numFmtId="165" fontId="8" fillId="11" borderId="20" xfId="0" applyNumberFormat="1" applyFont="1" applyFill="1" applyBorder="1" applyAlignment="1">
      <alignment horizontal="center" vertical="center"/>
    </xf>
    <xf numFmtId="165" fontId="8" fillId="11" borderId="21" xfId="0" applyNumberFormat="1" applyFont="1" applyFill="1" applyBorder="1" applyAlignment="1">
      <alignment horizontal="center" vertical="center"/>
    </xf>
    <xf numFmtId="165" fontId="8" fillId="11" borderId="22" xfId="0" applyNumberFormat="1" applyFont="1" applyFill="1" applyBorder="1" applyAlignment="1">
      <alignment horizontal="center" vertical="center"/>
    </xf>
    <xf numFmtId="165" fontId="8" fillId="11" borderId="12" xfId="0" applyNumberFormat="1" applyFont="1" applyFill="1" applyBorder="1" applyAlignment="1">
      <alignment horizontal="center" vertical="center"/>
    </xf>
    <xf numFmtId="165" fontId="8" fillId="11" borderId="23" xfId="0" applyNumberFormat="1" applyFont="1" applyFill="1" applyBorder="1" applyAlignment="1">
      <alignment horizontal="center" vertical="center"/>
    </xf>
    <xf numFmtId="165" fontId="8" fillId="11" borderId="24" xfId="0" applyNumberFormat="1" applyFont="1" applyFill="1" applyBorder="1" applyAlignment="1">
      <alignment horizontal="center" vertical="center"/>
    </xf>
    <xf numFmtId="165" fontId="8" fillId="11" borderId="25" xfId="0" applyNumberFormat="1" applyFont="1" applyFill="1" applyBorder="1" applyAlignment="1">
      <alignment horizontal="center" vertical="center"/>
    </xf>
    <xf numFmtId="165" fontId="8" fillId="11" borderId="26" xfId="0" applyNumberFormat="1" applyFont="1" applyFill="1" applyBorder="1" applyAlignment="1">
      <alignment horizontal="center" vertical="center"/>
    </xf>
    <xf numFmtId="165" fontId="9" fillId="2" borderId="40" xfId="0" applyNumberFormat="1" applyFont="1" applyFill="1" applyBorder="1" applyAlignment="1">
      <alignment horizontal="center" vertical="center"/>
    </xf>
    <xf numFmtId="165" fontId="9" fillId="2" borderId="41" xfId="0" applyNumberFormat="1" applyFont="1" applyFill="1" applyBorder="1" applyAlignment="1">
      <alignment horizontal="center" vertical="center"/>
    </xf>
    <xf numFmtId="165" fontId="9" fillId="2" borderId="42" xfId="0" applyNumberFormat="1" applyFont="1" applyFill="1" applyBorder="1" applyAlignment="1">
      <alignment horizontal="center" vertical="center"/>
    </xf>
    <xf numFmtId="165" fontId="9" fillId="2" borderId="43" xfId="0" applyNumberFormat="1" applyFont="1" applyFill="1" applyBorder="1" applyAlignment="1">
      <alignment horizontal="center" vertical="center"/>
    </xf>
    <xf numFmtId="165" fontId="9" fillId="2" borderId="44" xfId="0" applyNumberFormat="1" applyFont="1" applyFill="1" applyBorder="1" applyAlignment="1">
      <alignment horizontal="center" vertical="center"/>
    </xf>
    <xf numFmtId="165" fontId="9" fillId="2" borderId="45" xfId="0" applyNumberFormat="1" applyFont="1" applyFill="1" applyBorder="1" applyAlignment="1">
      <alignment horizontal="center" vertical="center"/>
    </xf>
    <xf numFmtId="4" fontId="8" fillId="11" borderId="19" xfId="0" applyNumberFormat="1" applyFont="1" applyFill="1" applyBorder="1" applyAlignment="1">
      <alignment horizontal="center" vertical="center"/>
    </xf>
    <xf numFmtId="4" fontId="8" fillId="11" borderId="20" xfId="0" applyNumberFormat="1" applyFont="1" applyFill="1" applyBorder="1" applyAlignment="1">
      <alignment horizontal="center" vertical="center"/>
    </xf>
    <xf numFmtId="4" fontId="8" fillId="11" borderId="21" xfId="0" applyNumberFormat="1" applyFont="1" applyFill="1" applyBorder="1" applyAlignment="1">
      <alignment horizontal="center" vertical="center"/>
    </xf>
    <xf numFmtId="4" fontId="8" fillId="11" borderId="22" xfId="0" applyNumberFormat="1" applyFont="1" applyFill="1" applyBorder="1" applyAlignment="1">
      <alignment horizontal="center" vertical="center"/>
    </xf>
    <xf numFmtId="4" fontId="8" fillId="11" borderId="12" xfId="0" applyNumberFormat="1" applyFont="1" applyFill="1" applyBorder="1" applyAlignment="1">
      <alignment horizontal="center" vertical="center"/>
    </xf>
    <xf numFmtId="4" fontId="8" fillId="11" borderId="23" xfId="0" applyNumberFormat="1" applyFont="1" applyFill="1" applyBorder="1" applyAlignment="1">
      <alignment horizontal="center" vertical="center"/>
    </xf>
    <xf numFmtId="4" fontId="8" fillId="11" borderId="24" xfId="0" applyNumberFormat="1" applyFont="1" applyFill="1" applyBorder="1" applyAlignment="1">
      <alignment horizontal="center" vertical="center"/>
    </xf>
    <xf numFmtId="4" fontId="8" fillId="11" borderId="25" xfId="0" applyNumberFormat="1" applyFont="1" applyFill="1" applyBorder="1" applyAlignment="1">
      <alignment horizontal="center" vertical="center"/>
    </xf>
    <xf numFmtId="4" fontId="8" fillId="11" borderId="26" xfId="0" applyNumberFormat="1" applyFont="1" applyFill="1" applyBorder="1" applyAlignment="1">
      <alignment horizontal="center" vertical="center"/>
    </xf>
    <xf numFmtId="4" fontId="9" fillId="2" borderId="40" xfId="0" applyNumberFormat="1" applyFont="1" applyFill="1" applyBorder="1" applyAlignment="1">
      <alignment horizontal="center" vertical="center"/>
    </xf>
    <xf numFmtId="4" fontId="9" fillId="2" borderId="41" xfId="0" applyNumberFormat="1" applyFont="1" applyFill="1" applyBorder="1" applyAlignment="1">
      <alignment horizontal="center" vertical="center"/>
    </xf>
    <xf numFmtId="4" fontId="9" fillId="2" borderId="42" xfId="0" applyNumberFormat="1" applyFont="1" applyFill="1" applyBorder="1" applyAlignment="1">
      <alignment horizontal="center" vertical="center"/>
    </xf>
    <xf numFmtId="4" fontId="8" fillId="2" borderId="22" xfId="0" applyNumberFormat="1" applyFont="1" applyFill="1" applyBorder="1" applyAlignment="1">
      <alignment horizontal="center" vertical="center"/>
    </xf>
    <xf numFmtId="4" fontId="8" fillId="2" borderId="12" xfId="0" applyNumberFormat="1" applyFont="1" applyFill="1" applyBorder="1" applyAlignment="1">
      <alignment horizontal="center" vertical="center"/>
    </xf>
    <xf numFmtId="4" fontId="8" fillId="2" borderId="23" xfId="0" applyNumberFormat="1" applyFont="1" applyFill="1" applyBorder="1" applyAlignment="1">
      <alignment horizontal="center" vertical="center"/>
    </xf>
    <xf numFmtId="165" fontId="8" fillId="2" borderId="27" xfId="0" applyNumberFormat="1" applyFont="1" applyFill="1" applyBorder="1" applyAlignment="1">
      <alignment horizontal="center" vertical="center"/>
    </xf>
    <xf numFmtId="165" fontId="8" fillId="2" borderId="15" xfId="0" applyNumberFormat="1" applyFont="1" applyFill="1" applyBorder="1" applyAlignment="1">
      <alignment horizontal="center" vertical="center"/>
    </xf>
    <xf numFmtId="165" fontId="8" fillId="2" borderId="17" xfId="0" applyNumberFormat="1" applyFont="1" applyFill="1" applyBorder="1" applyAlignment="1">
      <alignment horizontal="center" vertical="center"/>
    </xf>
    <xf numFmtId="165" fontId="8" fillId="2" borderId="59" xfId="0" applyNumberFormat="1" applyFont="1" applyFill="1" applyBorder="1" applyAlignment="1">
      <alignment horizontal="center" vertical="center"/>
    </xf>
    <xf numFmtId="165" fontId="8" fillId="2" borderId="14" xfId="0" applyNumberFormat="1" applyFont="1" applyFill="1" applyBorder="1" applyAlignment="1">
      <alignment horizontal="center" vertical="center"/>
    </xf>
    <xf numFmtId="165" fontId="8" fillId="2" borderId="55" xfId="0" applyNumberFormat="1" applyFont="1" applyFill="1" applyBorder="1" applyAlignment="1">
      <alignment horizontal="center" vertical="center"/>
    </xf>
    <xf numFmtId="3" fontId="9" fillId="2" borderId="40" xfId="0" applyNumberFormat="1" applyFont="1" applyFill="1" applyBorder="1" applyAlignment="1">
      <alignment horizontal="center" vertical="center"/>
    </xf>
    <xf numFmtId="3" fontId="9" fillId="2" borderId="41" xfId="0" applyNumberFormat="1" applyFont="1" applyFill="1" applyBorder="1" applyAlignment="1">
      <alignment horizontal="center" vertical="center"/>
    </xf>
    <xf numFmtId="3" fontId="9" fillId="2" borderId="42" xfId="0" applyNumberFormat="1" applyFont="1" applyFill="1" applyBorder="1" applyAlignment="1">
      <alignment horizontal="center" vertical="center"/>
    </xf>
    <xf numFmtId="0" fontId="8" fillId="3" borderId="12" xfId="0" applyFont="1" applyFill="1" applyBorder="1" applyAlignment="1">
      <alignment horizontal="center" vertical="center"/>
    </xf>
    <xf numFmtId="0" fontId="45" fillId="0" borderId="0" xfId="0" applyFont="1" applyAlignment="1" applyProtection="1">
      <alignment horizontal="center"/>
    </xf>
    <xf numFmtId="0" fontId="8" fillId="2" borderId="0" xfId="0" applyFont="1" applyFill="1" applyBorder="1" applyAlignment="1" applyProtection="1">
      <alignment horizontal="left" vertical="top"/>
    </xf>
    <xf numFmtId="2" fontId="24" fillId="2" borderId="0" xfId="1" applyNumberFormat="1" applyFill="1" applyBorder="1" applyAlignment="1" applyProtection="1">
      <alignment horizontal="left" vertical="center"/>
    </xf>
    <xf numFmtId="2" fontId="24" fillId="2" borderId="0" xfId="1" applyNumberFormat="1" applyFill="1" applyBorder="1" applyAlignment="1" applyProtection="1">
      <alignment vertical="top"/>
    </xf>
    <xf numFmtId="0" fontId="8" fillId="0" borderId="2" xfId="0" applyFont="1" applyFill="1" applyBorder="1"/>
    <xf numFmtId="0" fontId="9" fillId="0" borderId="2" xfId="0" applyFont="1" applyFill="1" applyBorder="1"/>
    <xf numFmtId="0" fontId="24" fillId="0" borderId="0" xfId="1" applyFill="1"/>
    <xf numFmtId="0" fontId="8" fillId="2" borderId="0" xfId="0" applyFont="1" applyFill="1" applyAlignment="1">
      <alignment horizontal="left"/>
    </xf>
    <xf numFmtId="0" fontId="62" fillId="0" borderId="0" xfId="1" applyFont="1" applyFill="1" applyBorder="1" applyAlignment="1" applyProtection="1">
      <alignment vertical="center"/>
    </xf>
    <xf numFmtId="0" fontId="14" fillId="0" borderId="0" xfId="0" applyFont="1" applyFill="1" applyAlignment="1" applyProtection="1">
      <alignment vertical="center"/>
    </xf>
    <xf numFmtId="0" fontId="0" fillId="0" borderId="0" xfId="0" applyFill="1" applyAlignment="1">
      <alignment wrapText="1"/>
    </xf>
    <xf numFmtId="2" fontId="24" fillId="0" borderId="0" xfId="1" applyNumberFormat="1" applyFill="1" applyBorder="1" applyAlignment="1" applyProtection="1">
      <alignment vertical="center"/>
    </xf>
    <xf numFmtId="0" fontId="27" fillId="2" borderId="0" xfId="0" applyFont="1" applyFill="1" applyBorder="1" applyAlignment="1" applyProtection="1">
      <alignment horizontal="center" vertical="center"/>
    </xf>
    <xf numFmtId="0" fontId="0" fillId="11" borderId="1" xfId="0" applyFill="1" applyBorder="1" applyProtection="1"/>
    <xf numFmtId="0" fontId="0" fillId="11" borderId="2" xfId="0" applyFill="1" applyBorder="1" applyProtection="1"/>
    <xf numFmtId="0" fontId="0" fillId="11" borderId="3" xfId="0" applyFill="1" applyBorder="1" applyProtection="1"/>
    <xf numFmtId="0" fontId="0" fillId="11" borderId="4" xfId="0" applyFill="1" applyBorder="1" applyProtection="1"/>
    <xf numFmtId="0" fontId="0" fillId="11" borderId="0" xfId="0" applyFill="1" applyBorder="1" applyProtection="1"/>
    <xf numFmtId="0" fontId="0" fillId="11" borderId="5" xfId="0" applyFill="1" applyBorder="1" applyProtection="1"/>
    <xf numFmtId="0" fontId="0" fillId="11" borderId="6" xfId="0" applyFill="1" applyBorder="1" applyProtection="1"/>
    <xf numFmtId="0" fontId="0" fillId="11" borderId="7" xfId="0" applyFill="1" applyBorder="1" applyProtection="1"/>
    <xf numFmtId="0" fontId="0" fillId="11" borderId="8" xfId="0" applyFill="1" applyBorder="1" applyProtection="1"/>
    <xf numFmtId="0" fontId="8" fillId="11" borderId="5" xfId="0" applyFont="1" applyFill="1" applyBorder="1" applyProtection="1"/>
    <xf numFmtId="0" fontId="8" fillId="11" borderId="0" xfId="0" applyFont="1" applyFill="1" applyBorder="1" applyAlignment="1" applyProtection="1">
      <alignment vertical="center"/>
    </xf>
    <xf numFmtId="0" fontId="8" fillId="11" borderId="0" xfId="0" applyFont="1" applyFill="1" applyBorder="1" applyProtection="1"/>
    <xf numFmtId="0" fontId="0" fillId="17" borderId="0" xfId="0" applyFill="1" applyBorder="1" applyProtection="1"/>
    <xf numFmtId="0" fontId="8" fillId="17" borderId="0" xfId="0" applyFont="1" applyFill="1" applyBorder="1" applyProtection="1"/>
    <xf numFmtId="0" fontId="8" fillId="18" borderId="0" xfId="0" applyFont="1" applyFill="1" applyBorder="1" applyProtection="1"/>
    <xf numFmtId="0" fontId="9" fillId="17" borderId="0" xfId="0" applyFont="1" applyFill="1" applyBorder="1" applyProtection="1"/>
    <xf numFmtId="0" fontId="9" fillId="18" borderId="0" xfId="0" applyFont="1" applyFill="1" applyBorder="1" applyProtection="1"/>
    <xf numFmtId="0" fontId="9" fillId="17" borderId="0" xfId="0" applyFont="1" applyFill="1" applyBorder="1" applyAlignment="1" applyProtection="1">
      <alignment horizontal="center" vertical="center"/>
    </xf>
    <xf numFmtId="0" fontId="9" fillId="17" borderId="0" xfId="0" applyFont="1" applyFill="1" applyBorder="1" applyAlignment="1" applyProtection="1">
      <alignment horizontal="center" vertical="center" wrapText="1"/>
    </xf>
    <xf numFmtId="0" fontId="9" fillId="18" borderId="0" xfId="0" applyFont="1" applyFill="1" applyBorder="1" applyAlignment="1" applyProtection="1">
      <alignment horizontal="center" vertical="center" wrapText="1"/>
    </xf>
    <xf numFmtId="0" fontId="8" fillId="18" borderId="0" xfId="0" applyFont="1" applyFill="1" applyBorder="1" applyAlignment="1" applyProtection="1">
      <alignment horizontal="center"/>
    </xf>
    <xf numFmtId="0" fontId="8" fillId="18" borderId="0" xfId="0" applyFont="1" applyFill="1" applyBorder="1" applyAlignment="1" applyProtection="1">
      <alignment horizontal="center" vertical="center"/>
    </xf>
    <xf numFmtId="0" fontId="65" fillId="18" borderId="0" xfId="0" applyFont="1" applyFill="1" applyBorder="1" applyAlignment="1" applyProtection="1">
      <alignment horizontal="center" vertical="center"/>
    </xf>
    <xf numFmtId="0" fontId="8" fillId="17" borderId="10" xfId="0" applyFont="1" applyFill="1" applyBorder="1" applyAlignment="1" applyProtection="1">
      <alignment horizontal="left" vertical="center"/>
    </xf>
    <xf numFmtId="0" fontId="8" fillId="17" borderId="10" xfId="0" applyFont="1" applyFill="1" applyBorder="1" applyAlignment="1" applyProtection="1">
      <alignment horizontal="center" vertical="center"/>
    </xf>
    <xf numFmtId="0" fontId="15" fillId="17" borderId="10" xfId="0" applyFont="1" applyFill="1" applyBorder="1" applyAlignment="1" applyProtection="1">
      <alignment horizontal="left" vertical="center" wrapText="1"/>
    </xf>
    <xf numFmtId="0" fontId="8" fillId="11" borderId="10" xfId="0" applyFont="1" applyFill="1" applyBorder="1" applyProtection="1"/>
    <xf numFmtId="0" fontId="8" fillId="18" borderId="10" xfId="0" applyFont="1" applyFill="1" applyBorder="1" applyProtection="1"/>
    <xf numFmtId="0" fontId="0" fillId="17" borderId="10" xfId="0" applyFont="1" applyFill="1" applyBorder="1" applyAlignment="1" applyProtection="1">
      <alignment horizontal="left" vertical="center"/>
    </xf>
    <xf numFmtId="0" fontId="0" fillId="11" borderId="10" xfId="0" applyFill="1" applyBorder="1" applyProtection="1"/>
    <xf numFmtId="0" fontId="0" fillId="18" borderId="10" xfId="0" applyFill="1" applyBorder="1" applyProtection="1"/>
    <xf numFmtId="0" fontId="64" fillId="11" borderId="0" xfId="0" applyFont="1" applyFill="1" applyBorder="1" applyProtection="1"/>
    <xf numFmtId="0" fontId="17" fillId="11" borderId="0" xfId="0" applyFont="1" applyFill="1" applyBorder="1" applyAlignment="1" applyProtection="1">
      <alignment wrapText="1"/>
    </xf>
    <xf numFmtId="0" fontId="0" fillId="11" borderId="0" xfId="0" applyFill="1" applyProtection="1"/>
    <xf numFmtId="0" fontId="0" fillId="11" borderId="0" xfId="0" applyFill="1" applyBorder="1" applyAlignment="1" applyProtection="1">
      <alignment horizontal="right" vertical="center"/>
    </xf>
    <xf numFmtId="0" fontId="8" fillId="11" borderId="3" xfId="0" applyFont="1" applyFill="1" applyBorder="1" applyProtection="1"/>
    <xf numFmtId="0" fontId="9" fillId="11" borderId="0" xfId="0" applyFont="1" applyFill="1" applyBorder="1" applyAlignment="1" applyProtection="1">
      <alignment vertical="center"/>
    </xf>
    <xf numFmtId="0" fontId="9" fillId="11" borderId="0" xfId="0" applyFont="1" applyFill="1" applyBorder="1" applyAlignment="1" applyProtection="1">
      <alignment horizontal="center" vertical="center"/>
    </xf>
    <xf numFmtId="0" fontId="9" fillId="11" borderId="0" xfId="0" applyFont="1" applyFill="1" applyBorder="1" applyProtection="1"/>
    <xf numFmtId="0" fontId="8" fillId="11" borderId="10" xfId="0" applyFont="1" applyFill="1" applyBorder="1" applyAlignment="1" applyProtection="1">
      <alignment horizontal="left" vertical="center"/>
    </xf>
    <xf numFmtId="0" fontId="8" fillId="11" borderId="0" xfId="0" applyFont="1" applyFill="1" applyBorder="1" applyAlignment="1" applyProtection="1">
      <alignment horizontal="left" vertical="center" wrapText="1"/>
    </xf>
    <xf numFmtId="0" fontId="0" fillId="11" borderId="0" xfId="0" applyFill="1" applyBorder="1" applyAlignment="1" applyProtection="1">
      <alignment horizontal="left" vertical="center" wrapText="1"/>
    </xf>
    <xf numFmtId="0" fontId="0" fillId="11" borderId="0" xfId="0" applyFill="1" applyBorder="1" applyAlignment="1" applyProtection="1">
      <alignment horizontal="center" vertical="center"/>
    </xf>
    <xf numFmtId="0" fontId="8" fillId="11" borderId="7" xfId="0" applyFont="1" applyFill="1" applyBorder="1" applyProtection="1"/>
    <xf numFmtId="49" fontId="8" fillId="11" borderId="7" xfId="0" applyNumberFormat="1" applyFont="1" applyFill="1" applyBorder="1" applyAlignment="1" applyProtection="1">
      <alignment horizontal="center" vertical="center"/>
    </xf>
    <xf numFmtId="0" fontId="14" fillId="0" borderId="2" xfId="0" applyFont="1" applyFill="1" applyBorder="1" applyAlignment="1" applyProtection="1">
      <alignment horizontal="center" vertical="center"/>
    </xf>
    <xf numFmtId="0" fontId="8" fillId="2" borderId="1" xfId="0" applyFont="1" applyFill="1" applyBorder="1" applyAlignment="1">
      <alignment horizontal="center"/>
    </xf>
    <xf numFmtId="0" fontId="8" fillId="2" borderId="2" xfId="0" applyFont="1" applyFill="1" applyBorder="1" applyAlignment="1">
      <alignment horizontal="center"/>
    </xf>
    <xf numFmtId="0" fontId="8" fillId="2" borderId="3" xfId="0" applyFont="1" applyFill="1" applyBorder="1" applyAlignment="1">
      <alignment horizontal="center"/>
    </xf>
    <xf numFmtId="49" fontId="8" fillId="0" borderId="0" xfId="0" applyNumberFormat="1" applyFont="1" applyFill="1" applyAlignment="1" applyProtection="1">
      <alignment horizontal="center" vertical="center"/>
    </xf>
    <xf numFmtId="3" fontId="0" fillId="17" borderId="0" xfId="0" applyNumberFormat="1" applyFill="1" applyBorder="1" applyAlignment="1" applyProtection="1">
      <alignment horizontal="center" vertical="center"/>
    </xf>
    <xf numFmtId="3" fontId="8" fillId="17" borderId="12" xfId="0" applyNumberFormat="1" applyFont="1" applyFill="1" applyBorder="1" applyAlignment="1" applyProtection="1">
      <alignment horizontal="center" vertical="center"/>
    </xf>
    <xf numFmtId="3" fontId="6" fillId="19" borderId="12" xfId="0" applyNumberFormat="1" applyFont="1" applyFill="1" applyBorder="1" applyAlignment="1" applyProtection="1">
      <alignment horizontal="center" vertical="center"/>
    </xf>
    <xf numFmtId="3" fontId="6" fillId="17" borderId="12" xfId="0" applyNumberFormat="1" applyFont="1" applyFill="1" applyBorder="1" applyAlignment="1" applyProtection="1">
      <alignment horizontal="center" vertical="center"/>
    </xf>
    <xf numFmtId="3" fontId="9" fillId="11" borderId="0" xfId="0" applyNumberFormat="1" applyFont="1" applyFill="1" applyBorder="1" applyAlignment="1" applyProtection="1">
      <alignment horizontal="center" vertical="center"/>
    </xf>
    <xf numFmtId="0" fontId="6" fillId="18" borderId="0" xfId="0" applyFont="1" applyFill="1" applyBorder="1" applyAlignment="1" applyProtection="1">
      <alignment horizontal="center" vertical="center"/>
    </xf>
    <xf numFmtId="0" fontId="6" fillId="18" borderId="0" xfId="0" applyFont="1" applyFill="1" applyBorder="1" applyProtection="1"/>
    <xf numFmtId="0" fontId="8" fillId="17" borderId="0" xfId="0" applyFont="1" applyFill="1" applyBorder="1" applyAlignment="1" applyProtection="1">
      <alignment horizontal="center" vertical="center"/>
    </xf>
    <xf numFmtId="0" fontId="17" fillId="17" borderId="0" xfId="0" applyFont="1" applyFill="1" applyBorder="1" applyAlignment="1" applyProtection="1">
      <alignment vertical="center" wrapText="1"/>
    </xf>
    <xf numFmtId="0" fontId="8" fillId="0" borderId="0" xfId="0" applyFont="1" applyFill="1" applyBorder="1" applyAlignment="1" applyProtection="1">
      <alignment horizontal="center" vertical="center"/>
    </xf>
    <xf numFmtId="0" fontId="0" fillId="17" borderId="0" xfId="0" applyFill="1"/>
    <xf numFmtId="0" fontId="0" fillId="17" borderId="0" xfId="0" applyFill="1" applyAlignment="1">
      <alignment horizontal="center" vertical="center"/>
    </xf>
    <xf numFmtId="9" fontId="0" fillId="17" borderId="0" xfId="0" applyNumberFormat="1" applyFill="1" applyAlignment="1">
      <alignment horizontal="center" vertical="center"/>
    </xf>
    <xf numFmtId="0" fontId="0" fillId="16" borderId="0" xfId="0" applyFill="1" applyBorder="1" applyAlignment="1">
      <alignment horizontal="center" vertical="center"/>
    </xf>
    <xf numFmtId="0" fontId="0" fillId="16" borderId="10" xfId="0" applyFill="1" applyBorder="1" applyAlignment="1">
      <alignment horizontal="center" vertical="center"/>
    </xf>
    <xf numFmtId="0" fontId="64" fillId="0" borderId="0" xfId="0" applyFont="1" applyFill="1" applyBorder="1" applyProtection="1"/>
    <xf numFmtId="49" fontId="8" fillId="0" borderId="0" xfId="0" applyNumberFormat="1" applyFont="1" applyFill="1" applyBorder="1" applyAlignment="1" applyProtection="1">
      <alignment horizontal="center" vertical="center"/>
    </xf>
    <xf numFmtId="0" fontId="0" fillId="12" borderId="1" xfId="0" applyFill="1" applyBorder="1" applyProtection="1"/>
    <xf numFmtId="0" fontId="0" fillId="12" borderId="2" xfId="0" applyFill="1" applyBorder="1" applyProtection="1"/>
    <xf numFmtId="0" fontId="0" fillId="12" borderId="3" xfId="0" applyFill="1" applyBorder="1" applyProtection="1"/>
    <xf numFmtId="0" fontId="0" fillId="12" borderId="4" xfId="0" applyFill="1" applyBorder="1" applyProtection="1"/>
    <xf numFmtId="0" fontId="0" fillId="12" borderId="5" xfId="0" applyFill="1" applyBorder="1" applyProtection="1"/>
    <xf numFmtId="0" fontId="0" fillId="12" borderId="6" xfId="0" applyFill="1" applyBorder="1" applyProtection="1"/>
    <xf numFmtId="0" fontId="0" fillId="12" borderId="7" xfId="0" applyFill="1" applyBorder="1" applyProtection="1"/>
    <xf numFmtId="0" fontId="0" fillId="12" borderId="8" xfId="0" applyFill="1" applyBorder="1" applyProtection="1"/>
    <xf numFmtId="0" fontId="0" fillId="12" borderId="0" xfId="0" applyFill="1" applyBorder="1" applyProtection="1"/>
    <xf numFmtId="0" fontId="8" fillId="12" borderId="5" xfId="0" applyFont="1" applyFill="1" applyBorder="1" applyProtection="1"/>
    <xf numFmtId="0" fontId="8" fillId="12" borderId="0" xfId="0" applyFont="1" applyFill="1" applyBorder="1" applyProtection="1"/>
    <xf numFmtId="0" fontId="0" fillId="8" borderId="0" xfId="0" applyFill="1" applyBorder="1" applyProtection="1"/>
    <xf numFmtId="0" fontId="0" fillId="15" borderId="0" xfId="0" applyFill="1" applyBorder="1" applyProtection="1"/>
    <xf numFmtId="0" fontId="9" fillId="8" borderId="0" xfId="0" applyFont="1" applyFill="1" applyBorder="1" applyProtection="1"/>
    <xf numFmtId="0" fontId="8" fillId="8" borderId="0" xfId="0" applyFont="1" applyFill="1" applyBorder="1" applyProtection="1"/>
    <xf numFmtId="0" fontId="8" fillId="15" borderId="0" xfId="0" applyFont="1" applyFill="1" applyBorder="1" applyProtection="1"/>
    <xf numFmtId="0" fontId="9" fillId="15" borderId="0" xfId="0" applyFont="1" applyFill="1" applyBorder="1" applyProtection="1"/>
    <xf numFmtId="0" fontId="9" fillId="8" borderId="0" xfId="0" applyFont="1" applyFill="1" applyBorder="1" applyAlignment="1" applyProtection="1">
      <alignment horizontal="center" vertical="center"/>
    </xf>
    <xf numFmtId="0" fontId="9" fillId="8" borderId="0" xfId="0" applyFont="1" applyFill="1" applyBorder="1" applyAlignment="1" applyProtection="1">
      <alignment wrapText="1"/>
    </xf>
    <xf numFmtId="0" fontId="8" fillId="15" borderId="0" xfId="0" applyFont="1" applyFill="1" applyBorder="1" applyAlignment="1" applyProtection="1">
      <alignment horizontal="center"/>
    </xf>
    <xf numFmtId="0" fontId="8" fillId="15" borderId="0" xfId="0" applyFont="1" applyFill="1" applyBorder="1" applyAlignment="1" applyProtection="1">
      <alignment horizontal="center" vertical="center"/>
    </xf>
    <xf numFmtId="9" fontId="0" fillId="0" borderId="0" xfId="0" applyNumberFormat="1" applyAlignment="1" applyProtection="1">
      <alignment horizontal="center" vertical="center"/>
    </xf>
    <xf numFmtId="0" fontId="8" fillId="8" borderId="0" xfId="0" applyFont="1" applyFill="1" applyBorder="1" applyAlignment="1" applyProtection="1">
      <alignment horizontal="center" vertical="center"/>
    </xf>
    <xf numFmtId="3" fontId="8" fillId="6" borderId="12" xfId="0" applyNumberFormat="1" applyFont="1" applyFill="1" applyBorder="1" applyAlignment="1" applyProtection="1">
      <alignment horizontal="center" vertical="center"/>
    </xf>
    <xf numFmtId="3" fontId="6" fillId="16" borderId="12" xfId="0" applyNumberFormat="1" applyFont="1" applyFill="1" applyBorder="1" applyAlignment="1" applyProtection="1">
      <alignment horizontal="center" vertical="center"/>
    </xf>
    <xf numFmtId="0" fontId="6" fillId="15" borderId="0" xfId="0" applyFont="1" applyFill="1" applyBorder="1" applyProtection="1"/>
    <xf numFmtId="0" fontId="17" fillId="8" borderId="0" xfId="0" applyFont="1" applyFill="1" applyBorder="1" applyAlignment="1" applyProtection="1">
      <alignment horizontal="left" vertical="center" wrapText="1"/>
    </xf>
    <xf numFmtId="0" fontId="17" fillId="8" borderId="0" xfId="0" applyFont="1" applyFill="1" applyBorder="1" applyAlignment="1" applyProtection="1">
      <alignment horizontal="left" wrapText="1"/>
    </xf>
    <xf numFmtId="2" fontId="8" fillId="11" borderId="0" xfId="0" applyNumberFormat="1" applyFont="1" applyFill="1" applyBorder="1" applyAlignment="1" applyProtection="1">
      <alignment horizontal="center" vertical="center"/>
    </xf>
    <xf numFmtId="0" fontId="36" fillId="12" borderId="0" xfId="0" applyFont="1" applyFill="1" applyBorder="1" applyAlignment="1" applyProtection="1">
      <alignment horizontal="center"/>
    </xf>
    <xf numFmtId="0" fontId="8" fillId="12" borderId="7" xfId="0" applyFont="1" applyFill="1" applyBorder="1" applyProtection="1"/>
    <xf numFmtId="0" fontId="8" fillId="12" borderId="8" xfId="0" applyFont="1" applyFill="1" applyBorder="1" applyProtection="1"/>
    <xf numFmtId="0" fontId="8" fillId="12" borderId="3" xfId="0" applyFont="1" applyFill="1" applyBorder="1" applyProtection="1"/>
    <xf numFmtId="0" fontId="64" fillId="12" borderId="0" xfId="0" applyFont="1" applyFill="1" applyBorder="1" applyProtection="1"/>
    <xf numFmtId="0" fontId="9" fillId="12" borderId="0" xfId="0" applyFont="1" applyFill="1" applyBorder="1" applyProtection="1"/>
    <xf numFmtId="0" fontId="13" fillId="12" borderId="0" xfId="0" applyFont="1" applyFill="1" applyBorder="1" applyProtection="1"/>
    <xf numFmtId="0" fontId="9" fillId="12" borderId="0" xfId="0" applyFont="1" applyFill="1" applyBorder="1" applyAlignment="1" applyProtection="1">
      <alignment vertical="center"/>
    </xf>
    <xf numFmtId="0" fontId="9" fillId="12" borderId="0" xfId="0" applyFont="1" applyFill="1" applyBorder="1" applyAlignment="1" applyProtection="1">
      <alignment horizontal="center" vertical="center"/>
    </xf>
    <xf numFmtId="0" fontId="8" fillId="12" borderId="10" xfId="0" applyFont="1" applyFill="1" applyBorder="1" applyAlignment="1" applyProtection="1">
      <alignment horizontal="left" vertical="center"/>
    </xf>
    <xf numFmtId="0" fontId="8" fillId="12" borderId="10" xfId="0" applyFont="1" applyFill="1" applyBorder="1" applyAlignment="1" applyProtection="1">
      <alignment horizontal="center" vertical="center"/>
    </xf>
    <xf numFmtId="0" fontId="0" fillId="12" borderId="10" xfId="0" applyFill="1" applyBorder="1" applyAlignment="1" applyProtection="1">
      <alignment horizontal="left" vertical="center"/>
    </xf>
    <xf numFmtId="0" fontId="0" fillId="12" borderId="10" xfId="0" applyFill="1" applyBorder="1" applyAlignment="1" applyProtection="1">
      <alignment horizontal="center" vertical="center"/>
    </xf>
    <xf numFmtId="0" fontId="0" fillId="12" borderId="53" xfId="0" applyFill="1" applyBorder="1" applyAlignment="1" applyProtection="1">
      <alignment horizontal="left" vertical="center"/>
    </xf>
    <xf numFmtId="0" fontId="0" fillId="12" borderId="53" xfId="0" applyFill="1" applyBorder="1" applyAlignment="1" applyProtection="1">
      <alignment horizontal="center" vertical="center"/>
    </xf>
    <xf numFmtId="3" fontId="6" fillId="11" borderId="13" xfId="0" applyNumberFormat="1" applyFont="1" applyFill="1" applyBorder="1" applyAlignment="1" applyProtection="1">
      <alignment horizontal="center" vertical="center"/>
    </xf>
    <xf numFmtId="3" fontId="6" fillId="11" borderId="13" xfId="0" applyNumberFormat="1" applyFont="1" applyFill="1" applyBorder="1" applyAlignment="1" applyProtection="1">
      <alignment horizontal="right" vertical="center"/>
    </xf>
    <xf numFmtId="0" fontId="8" fillId="11" borderId="34" xfId="0" applyFont="1" applyFill="1" applyBorder="1" applyAlignment="1" applyProtection="1">
      <alignment horizontal="center" vertical="center"/>
    </xf>
    <xf numFmtId="0" fontId="8" fillId="11" borderId="35" xfId="0" applyFont="1" applyFill="1" applyBorder="1" applyAlignment="1" applyProtection="1">
      <alignment horizontal="center" vertical="center"/>
    </xf>
    <xf numFmtId="0" fontId="8" fillId="11" borderId="36" xfId="0" applyFont="1" applyFill="1" applyBorder="1" applyAlignment="1" applyProtection="1">
      <alignment horizontal="center" vertical="center"/>
    </xf>
    <xf numFmtId="0" fontId="25" fillId="11" borderId="1" xfId="0" applyFont="1" applyFill="1" applyBorder="1" applyAlignment="1" applyProtection="1">
      <alignment horizontal="center" vertical="center"/>
    </xf>
    <xf numFmtId="0" fontId="25" fillId="11" borderId="77" xfId="0" applyFont="1" applyFill="1" applyBorder="1" applyAlignment="1" applyProtection="1">
      <alignment horizontal="center" vertical="center"/>
    </xf>
    <xf numFmtId="0" fontId="25" fillId="11" borderId="78" xfId="0" applyFont="1" applyFill="1" applyBorder="1" applyAlignment="1" applyProtection="1">
      <alignment horizontal="center" vertical="center"/>
    </xf>
    <xf numFmtId="0" fontId="25" fillId="11" borderId="6" xfId="0" applyFont="1" applyFill="1" applyBorder="1" applyAlignment="1" applyProtection="1">
      <alignment horizontal="center" vertical="center"/>
    </xf>
    <xf numFmtId="0" fontId="25" fillId="11" borderId="72" xfId="0" applyFont="1" applyFill="1" applyBorder="1" applyAlignment="1" applyProtection="1">
      <alignment horizontal="center" vertical="center"/>
    </xf>
    <xf numFmtId="2" fontId="8" fillId="17" borderId="24" xfId="0" applyNumberFormat="1" applyFont="1" applyFill="1" applyBorder="1" applyAlignment="1" applyProtection="1">
      <alignment horizontal="center" vertical="center"/>
    </xf>
    <xf numFmtId="0" fontId="8" fillId="17" borderId="25" xfId="0" applyFont="1" applyFill="1" applyBorder="1" applyAlignment="1" applyProtection="1">
      <alignment horizontal="center" vertical="center"/>
    </xf>
    <xf numFmtId="2" fontId="8" fillId="17" borderId="26" xfId="0" applyNumberFormat="1" applyFont="1" applyFill="1" applyBorder="1" applyAlignment="1" applyProtection="1">
      <alignment horizontal="center" vertical="center"/>
    </xf>
    <xf numFmtId="0" fontId="8" fillId="17" borderId="27" xfId="0" applyFont="1" applyFill="1" applyBorder="1" applyAlignment="1" applyProtection="1">
      <alignment horizontal="center" vertical="center"/>
    </xf>
    <xf numFmtId="164" fontId="8" fillId="17" borderId="15" xfId="0" applyNumberFormat="1" applyFont="1" applyFill="1" applyBorder="1" applyAlignment="1" applyProtection="1">
      <alignment horizontal="center" vertical="center"/>
    </xf>
    <xf numFmtId="164" fontId="8" fillId="17" borderId="17" xfId="0" applyNumberFormat="1" applyFont="1" applyFill="1" applyBorder="1" applyAlignment="1" applyProtection="1">
      <alignment horizontal="center" vertical="center"/>
    </xf>
    <xf numFmtId="3" fontId="8" fillId="17" borderId="22" xfId="0" applyNumberFormat="1" applyFont="1" applyFill="1" applyBorder="1" applyAlignment="1" applyProtection="1">
      <alignment horizontal="center" vertical="center"/>
    </xf>
    <xf numFmtId="3" fontId="8" fillId="17" borderId="23" xfId="0" applyNumberFormat="1" applyFont="1" applyFill="1" applyBorder="1" applyAlignment="1" applyProtection="1">
      <alignment horizontal="center" vertical="center"/>
    </xf>
    <xf numFmtId="3" fontId="8" fillId="17" borderId="59" xfId="0" applyNumberFormat="1" applyFont="1" applyFill="1" applyBorder="1" applyAlignment="1" applyProtection="1">
      <alignment horizontal="center" vertical="center"/>
    </xf>
    <xf numFmtId="3" fontId="8" fillId="17" borderId="14" xfId="0" applyNumberFormat="1" applyFont="1" applyFill="1" applyBorder="1" applyAlignment="1" applyProtection="1">
      <alignment horizontal="center" vertical="center"/>
    </xf>
    <xf numFmtId="3" fontId="8" fillId="17" borderId="55" xfId="0" applyNumberFormat="1" applyFont="1" applyFill="1" applyBorder="1" applyAlignment="1" applyProtection="1">
      <alignment horizontal="center" vertical="center"/>
    </xf>
    <xf numFmtId="3" fontId="33" fillId="17" borderId="40" xfId="0" applyNumberFormat="1" applyFont="1" applyFill="1" applyBorder="1" applyAlignment="1">
      <alignment horizontal="center" vertical="center"/>
    </xf>
    <xf numFmtId="3" fontId="33" fillId="17" borderId="41" xfId="0" applyNumberFormat="1" applyFont="1" applyFill="1" applyBorder="1" applyAlignment="1">
      <alignment horizontal="center" vertical="center"/>
    </xf>
    <xf numFmtId="3" fontId="33" fillId="17" borderId="42" xfId="0" applyNumberFormat="1" applyFont="1" applyFill="1" applyBorder="1" applyAlignment="1">
      <alignment horizontal="center" vertical="center"/>
    </xf>
    <xf numFmtId="0" fontId="8" fillId="17" borderId="1" xfId="0" applyFont="1" applyFill="1" applyBorder="1" applyAlignment="1" applyProtection="1">
      <alignment horizontal="center"/>
    </xf>
    <xf numFmtId="0" fontId="8" fillId="17" borderId="2" xfId="0" applyFont="1" applyFill="1" applyBorder="1" applyAlignment="1" applyProtection="1">
      <alignment horizontal="center"/>
    </xf>
    <xf numFmtId="0" fontId="8" fillId="17" borderId="3" xfId="0" applyFont="1" applyFill="1" applyBorder="1" applyAlignment="1" applyProtection="1">
      <alignment horizontal="center"/>
    </xf>
    <xf numFmtId="2" fontId="8" fillId="17" borderId="22" xfId="0" applyNumberFormat="1" applyFont="1" applyFill="1" applyBorder="1" applyAlignment="1" applyProtection="1">
      <alignment horizontal="center" vertical="center"/>
    </xf>
    <xf numFmtId="0" fontId="8" fillId="17" borderId="12" xfId="0" applyFont="1" applyFill="1" applyBorder="1" applyAlignment="1" applyProtection="1">
      <alignment horizontal="center" vertical="center"/>
    </xf>
    <xf numFmtId="2" fontId="8" fillId="17" borderId="23" xfId="0" applyNumberFormat="1" applyFont="1" applyFill="1" applyBorder="1" applyAlignment="1" applyProtection="1">
      <alignment horizontal="center" vertical="center"/>
    </xf>
    <xf numFmtId="3" fontId="8" fillId="17" borderId="27" xfId="0" applyNumberFormat="1" applyFont="1" applyFill="1" applyBorder="1" applyAlignment="1" applyProtection="1">
      <alignment horizontal="center" vertical="center"/>
    </xf>
    <xf numFmtId="3" fontId="8" fillId="17" borderId="15" xfId="0" applyNumberFormat="1" applyFont="1" applyFill="1" applyBorder="1" applyAlignment="1" applyProtection="1">
      <alignment horizontal="center" vertical="center"/>
    </xf>
    <xf numFmtId="3" fontId="8" fillId="17" borderId="17" xfId="0" applyNumberFormat="1" applyFont="1" applyFill="1" applyBorder="1" applyAlignment="1" applyProtection="1">
      <alignment horizontal="center" vertical="center"/>
    </xf>
    <xf numFmtId="3" fontId="8" fillId="17" borderId="40" xfId="0" applyNumberFormat="1" applyFont="1" applyFill="1" applyBorder="1" applyAlignment="1" applyProtection="1">
      <alignment horizontal="center"/>
    </xf>
    <xf numFmtId="3" fontId="8" fillId="17" borderId="41" xfId="0" applyNumberFormat="1" applyFont="1" applyFill="1" applyBorder="1" applyAlignment="1" applyProtection="1">
      <alignment horizontal="center"/>
    </xf>
    <xf numFmtId="3" fontId="8" fillId="17" borderId="42" xfId="0" applyNumberFormat="1" applyFont="1" applyFill="1" applyBorder="1" applyAlignment="1" applyProtection="1">
      <alignment horizontal="center"/>
    </xf>
    <xf numFmtId="0" fontId="8" fillId="2" borderId="1" xfId="0" applyFont="1" applyFill="1" applyBorder="1" applyAlignment="1" applyProtection="1"/>
    <xf numFmtId="0" fontId="8" fillId="2" borderId="4" xfId="0" applyFont="1" applyFill="1" applyBorder="1" applyAlignment="1" applyProtection="1"/>
    <xf numFmtId="0" fontId="8" fillId="2" borderId="5" xfId="0" applyFont="1" applyFill="1" applyBorder="1" applyAlignment="1" applyProtection="1"/>
    <xf numFmtId="0" fontId="8" fillId="2" borderId="6" xfId="0" applyFont="1" applyFill="1" applyBorder="1" applyAlignment="1" applyProtection="1"/>
    <xf numFmtId="3" fontId="0" fillId="0" borderId="0" xfId="0" applyNumberFormat="1" applyFill="1" applyBorder="1" applyAlignment="1" applyProtection="1">
      <alignment horizontal="center" vertical="center"/>
    </xf>
    <xf numFmtId="0" fontId="18" fillId="11" borderId="59" xfId="0" applyFont="1" applyFill="1" applyBorder="1" applyAlignment="1" applyProtection="1">
      <protection locked="0"/>
    </xf>
    <xf numFmtId="0" fontId="8" fillId="2" borderId="60" xfId="0" applyFont="1" applyFill="1" applyBorder="1" applyAlignment="1" applyProtection="1"/>
    <xf numFmtId="3" fontId="18" fillId="2" borderId="74" xfId="0" applyNumberFormat="1" applyFont="1" applyFill="1" applyBorder="1" applyAlignment="1" applyProtection="1">
      <alignment horizontal="center" vertical="center"/>
      <protection locked="0"/>
    </xf>
    <xf numFmtId="3" fontId="8" fillId="2" borderId="74" xfId="0" applyNumberFormat="1" applyFont="1" applyFill="1" applyBorder="1" applyAlignment="1" applyProtection="1"/>
    <xf numFmtId="3" fontId="36" fillId="2" borderId="80" xfId="0" applyNumberFormat="1" applyFont="1" applyFill="1" applyBorder="1" applyAlignment="1" applyProtection="1"/>
    <xf numFmtId="3" fontId="8" fillId="11" borderId="16" xfId="0" applyNumberFormat="1" applyFont="1" applyFill="1" applyBorder="1" applyAlignment="1" applyProtection="1">
      <alignment horizontal="center" vertical="center"/>
    </xf>
    <xf numFmtId="0" fontId="14" fillId="0" borderId="12" xfId="0" applyFont="1" applyBorder="1" applyAlignment="1">
      <alignment horizontal="center" vertical="center"/>
    </xf>
    <xf numFmtId="0" fontId="14" fillId="0" borderId="25" xfId="0" applyFont="1" applyBorder="1" applyAlignment="1">
      <alignment horizontal="center" vertical="center"/>
    </xf>
    <xf numFmtId="0" fontId="10" fillId="0" borderId="0" xfId="0" applyFont="1" applyFill="1" applyBorder="1"/>
    <xf numFmtId="0" fontId="0" fillId="0" borderId="0" xfId="0" applyFill="1" applyBorder="1" applyAlignment="1">
      <alignment horizontal="center" vertical="center"/>
    </xf>
    <xf numFmtId="9" fontId="0" fillId="0" borderId="0" xfId="0" applyNumberFormat="1" applyFill="1" applyBorder="1" applyAlignment="1">
      <alignment horizontal="center" vertical="center"/>
    </xf>
    <xf numFmtId="0" fontId="0" fillId="17" borderId="10" xfId="0" applyFill="1" applyBorder="1" applyAlignment="1">
      <alignment horizontal="center" vertical="center"/>
    </xf>
    <xf numFmtId="0" fontId="9" fillId="15" borderId="0" xfId="0" applyFont="1" applyFill="1" applyBorder="1" applyAlignment="1" applyProtection="1">
      <alignment horizontal="center" vertical="center" wrapText="1"/>
    </xf>
    <xf numFmtId="0" fontId="9" fillId="15" borderId="0" xfId="0" applyFont="1" applyFill="1" applyBorder="1" applyAlignment="1" applyProtection="1">
      <alignment wrapText="1"/>
    </xf>
    <xf numFmtId="0" fontId="68" fillId="0" borderId="0" xfId="0" applyFont="1" applyProtection="1"/>
    <xf numFmtId="0" fontId="8" fillId="0" borderId="59" xfId="0" applyFont="1" applyBorder="1"/>
    <xf numFmtId="2" fontId="8" fillId="0" borderId="14" xfId="0" applyNumberFormat="1" applyFont="1" applyBorder="1" applyAlignment="1">
      <alignment horizontal="center"/>
    </xf>
    <xf numFmtId="3" fontId="8" fillId="17" borderId="58" xfId="0" applyNumberFormat="1" applyFont="1" applyFill="1" applyBorder="1" applyAlignment="1" applyProtection="1">
      <alignment horizontal="center" vertical="center"/>
    </xf>
    <xf numFmtId="1" fontId="33" fillId="17" borderId="44" xfId="1" applyNumberFormat="1" applyFont="1" applyFill="1" applyBorder="1" applyAlignment="1" applyProtection="1">
      <alignment horizontal="center" vertical="center"/>
    </xf>
    <xf numFmtId="1" fontId="33" fillId="17" borderId="45" xfId="1" applyNumberFormat="1" applyFont="1" applyFill="1" applyBorder="1" applyAlignment="1" applyProtection="1">
      <alignment horizontal="center" vertical="center"/>
    </xf>
    <xf numFmtId="3" fontId="8" fillId="17" borderId="29" xfId="0" applyNumberFormat="1" applyFont="1" applyFill="1" applyBorder="1" applyAlignment="1" applyProtection="1">
      <alignment horizontal="center"/>
    </xf>
    <xf numFmtId="3" fontId="8" fillId="17" borderId="25" xfId="0" applyNumberFormat="1" applyFont="1" applyFill="1" applyBorder="1" applyAlignment="1" applyProtection="1">
      <alignment horizontal="center"/>
    </xf>
    <xf numFmtId="3" fontId="8" fillId="17" borderId="26" xfId="0" applyNumberFormat="1" applyFont="1" applyFill="1" applyBorder="1" applyAlignment="1" applyProtection="1">
      <alignment horizontal="center"/>
    </xf>
    <xf numFmtId="0" fontId="8" fillId="0" borderId="15" xfId="0" applyFont="1" applyBorder="1" applyProtection="1"/>
    <xf numFmtId="0" fontId="8" fillId="0" borderId="17" xfId="0" applyFont="1" applyBorder="1" applyProtection="1"/>
    <xf numFmtId="0" fontId="8" fillId="0" borderId="13" xfId="0" applyFont="1" applyBorder="1" applyAlignment="1" applyProtection="1">
      <alignment horizontal="center" vertical="center"/>
    </xf>
    <xf numFmtId="3" fontId="8" fillId="0" borderId="23" xfId="0" applyNumberFormat="1" applyFont="1" applyBorder="1" applyAlignment="1" applyProtection="1">
      <alignment horizontal="center" vertical="center"/>
    </xf>
    <xf numFmtId="0" fontId="8" fillId="0" borderId="4" xfId="0" applyFont="1" applyBorder="1" applyProtection="1"/>
    <xf numFmtId="0" fontId="8" fillId="0" borderId="0" xfId="0" quotePrefix="1" applyFont="1" applyBorder="1" applyAlignment="1">
      <alignment horizontal="center" vertical="center"/>
    </xf>
    <xf numFmtId="9" fontId="8" fillId="0" borderId="0" xfId="0" quotePrefix="1" applyNumberFormat="1" applyFont="1" applyBorder="1" applyAlignment="1">
      <alignment horizontal="center"/>
    </xf>
    <xf numFmtId="1" fontId="33" fillId="17" borderId="72" xfId="1" applyNumberFormat="1" applyFont="1" applyFill="1" applyBorder="1" applyAlignment="1" applyProtection="1">
      <alignment horizontal="center" vertical="center"/>
    </xf>
    <xf numFmtId="3" fontId="8" fillId="17" borderId="18" xfId="0" applyNumberFormat="1" applyFont="1" applyFill="1" applyBorder="1" applyAlignment="1" applyProtection="1">
      <alignment horizontal="center"/>
    </xf>
    <xf numFmtId="3" fontId="8" fillId="17" borderId="15" xfId="0" applyNumberFormat="1" applyFont="1" applyFill="1" applyBorder="1" applyAlignment="1" applyProtection="1">
      <alignment horizontal="center"/>
    </xf>
    <xf numFmtId="3" fontId="8" fillId="17" borderId="17" xfId="0" applyNumberFormat="1" applyFont="1" applyFill="1" applyBorder="1" applyAlignment="1" applyProtection="1">
      <alignment horizontal="center"/>
    </xf>
    <xf numFmtId="0" fontId="13" fillId="17" borderId="40" xfId="0" applyFont="1" applyFill="1" applyBorder="1" applyAlignment="1" applyProtection="1">
      <alignment horizontal="center"/>
    </xf>
    <xf numFmtId="0" fontId="9" fillId="17" borderId="41" xfId="0" applyFont="1" applyFill="1" applyBorder="1" applyAlignment="1" applyProtection="1">
      <alignment horizontal="center"/>
    </xf>
    <xf numFmtId="1" fontId="9" fillId="17" borderId="42" xfId="0" applyNumberFormat="1" applyFont="1" applyFill="1" applyBorder="1" applyAlignment="1" applyProtection="1">
      <alignment horizontal="center" vertical="center"/>
    </xf>
    <xf numFmtId="0" fontId="8" fillId="0" borderId="0" xfId="0" applyFont="1" applyFill="1" applyBorder="1" applyAlignment="1" applyProtection="1">
      <alignment horizontal="left" vertical="top"/>
    </xf>
    <xf numFmtId="0" fontId="9" fillId="2" borderId="2" xfId="0" applyFont="1" applyFill="1" applyBorder="1" applyAlignment="1" applyProtection="1">
      <alignment horizontal="left" vertical="top" wrapText="1"/>
    </xf>
    <xf numFmtId="0" fontId="8" fillId="0" borderId="0" xfId="0" applyFont="1" applyAlignment="1">
      <alignment horizontal="center" vertical="center"/>
    </xf>
    <xf numFmtId="0" fontId="8" fillId="0" borderId="37" xfId="0" applyFont="1" applyBorder="1"/>
    <xf numFmtId="0" fontId="8" fillId="0" borderId="38" xfId="0" applyFont="1" applyBorder="1"/>
    <xf numFmtId="0" fontId="8" fillId="0" borderId="39" xfId="0" applyFont="1" applyBorder="1" applyAlignment="1">
      <alignment horizontal="center"/>
    </xf>
    <xf numFmtId="0" fontId="8" fillId="2" borderId="7" xfId="0" applyFont="1" applyFill="1" applyBorder="1" applyAlignment="1" applyProtection="1"/>
    <xf numFmtId="0" fontId="14" fillId="2" borderId="74" xfId="0" applyFont="1" applyFill="1" applyBorder="1" applyProtection="1"/>
    <xf numFmtId="0" fontId="14" fillId="2" borderId="38" xfId="0" applyFont="1" applyFill="1" applyBorder="1" applyProtection="1"/>
    <xf numFmtId="0" fontId="33" fillId="2" borderId="0" xfId="0" applyFont="1" applyFill="1" applyBorder="1" applyAlignment="1" applyProtection="1">
      <alignment horizontal="center" vertical="center"/>
    </xf>
    <xf numFmtId="0" fontId="14" fillId="2" borderId="22" xfId="0" applyFont="1" applyFill="1" applyBorder="1" applyAlignment="1" applyProtection="1">
      <alignment horizontal="left" vertical="center"/>
    </xf>
    <xf numFmtId="0" fontId="14" fillId="2" borderId="23" xfId="0" applyFont="1" applyFill="1" applyBorder="1" applyAlignment="1" applyProtection="1">
      <alignment horizontal="left" vertical="center"/>
    </xf>
    <xf numFmtId="0" fontId="45" fillId="0" borderId="0" xfId="0" applyFont="1" applyAlignment="1" applyProtection="1">
      <alignment horizontal="center"/>
    </xf>
    <xf numFmtId="0" fontId="14" fillId="2" borderId="52" xfId="0" applyFont="1" applyFill="1" applyBorder="1" applyAlignment="1" applyProtection="1">
      <alignment horizontal="left" vertical="center"/>
    </xf>
    <xf numFmtId="0" fontId="14" fillId="2" borderId="61" xfId="0" applyFont="1" applyFill="1" applyBorder="1" applyAlignment="1" applyProtection="1">
      <alignment horizontal="left" vertical="center"/>
    </xf>
    <xf numFmtId="0" fontId="14" fillId="2" borderId="37" xfId="0" applyFont="1" applyFill="1" applyBorder="1" applyAlignment="1" applyProtection="1">
      <alignment horizontal="left" vertical="center"/>
    </xf>
    <xf numFmtId="0" fontId="14" fillId="2" borderId="39" xfId="0" applyFont="1" applyFill="1" applyBorder="1" applyAlignment="1" applyProtection="1">
      <alignment horizontal="left" vertical="center"/>
    </xf>
    <xf numFmtId="0" fontId="33" fillId="8" borderId="46" xfId="0" applyFont="1" applyFill="1" applyBorder="1" applyAlignment="1" applyProtection="1">
      <alignment horizontal="center" vertical="center"/>
    </xf>
    <xf numFmtId="3" fontId="14" fillId="2" borderId="34" xfId="0" applyNumberFormat="1" applyFont="1" applyFill="1" applyBorder="1" applyAlignment="1" applyProtection="1">
      <alignment horizontal="center" vertical="center"/>
    </xf>
    <xf numFmtId="0" fontId="14" fillId="0" borderId="2" xfId="0" applyFont="1" applyFill="1" applyBorder="1" applyAlignment="1" applyProtection="1">
      <alignment horizontal="center" vertical="center"/>
    </xf>
    <xf numFmtId="0" fontId="8" fillId="2" borderId="0" xfId="0" applyFont="1" applyFill="1" applyBorder="1" applyAlignment="1" applyProtection="1">
      <alignment horizontal="left" vertical="center" wrapText="1"/>
    </xf>
    <xf numFmtId="0" fontId="9" fillId="2" borderId="2" xfId="0" applyFont="1" applyFill="1" applyBorder="1" applyAlignment="1" applyProtection="1">
      <alignment horizontal="left" vertical="center" wrapText="1"/>
    </xf>
    <xf numFmtId="0" fontId="12" fillId="2" borderId="0" xfId="0" applyFont="1" applyFill="1" applyBorder="1" applyAlignment="1" applyProtection="1">
      <alignment horizontal="left" vertical="center"/>
    </xf>
    <xf numFmtId="0" fontId="8" fillId="0" borderId="19" xfId="0" applyFont="1" applyBorder="1" applyAlignment="1">
      <alignment horizontal="left" vertical="center"/>
    </xf>
    <xf numFmtId="0" fontId="8" fillId="0" borderId="22" xfId="0" applyFont="1" applyBorder="1" applyAlignment="1">
      <alignment horizontal="left" vertical="center"/>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26" xfId="0" applyFont="1" applyBorder="1" applyAlignment="1">
      <alignment horizontal="left" vertical="center"/>
    </xf>
    <xf numFmtId="0" fontId="8" fillId="8" borderId="1" xfId="0" applyFont="1" applyFill="1" applyBorder="1" applyAlignment="1" applyProtection="1"/>
    <xf numFmtId="0" fontId="8" fillId="8" borderId="2" xfId="0" applyFont="1" applyFill="1" applyBorder="1" applyAlignment="1" applyProtection="1"/>
    <xf numFmtId="0" fontId="14" fillId="8" borderId="67" xfId="0" applyFont="1" applyFill="1" applyBorder="1" applyAlignment="1" applyProtection="1">
      <alignment horizontal="center" vertical="center"/>
    </xf>
    <xf numFmtId="0" fontId="14" fillId="8" borderId="57" xfId="0" applyFont="1" applyFill="1" applyBorder="1" applyAlignment="1" applyProtection="1">
      <alignment horizontal="center" vertical="center" wrapText="1"/>
    </xf>
    <xf numFmtId="0" fontId="8" fillId="8" borderId="6" xfId="0" applyFont="1" applyFill="1" applyBorder="1" applyAlignment="1" applyProtection="1"/>
    <xf numFmtId="0" fontId="8" fillId="8" borderId="7" xfId="0" applyFont="1" applyFill="1" applyBorder="1" applyAlignment="1" applyProtection="1"/>
    <xf numFmtId="0" fontId="14" fillId="8" borderId="73" xfId="0" applyFont="1" applyFill="1" applyBorder="1" applyAlignment="1" applyProtection="1">
      <alignment horizontal="center" vertical="center"/>
    </xf>
    <xf numFmtId="0" fontId="14" fillId="8" borderId="45" xfId="0" applyFont="1" applyFill="1" applyBorder="1" applyAlignment="1" applyProtection="1">
      <alignment horizontal="center" vertical="center"/>
    </xf>
    <xf numFmtId="3" fontId="8" fillId="8" borderId="16" xfId="0" applyNumberFormat="1" applyFont="1" applyFill="1" applyBorder="1" applyAlignment="1" applyProtection="1">
      <alignment horizontal="center" vertical="center"/>
    </xf>
    <xf numFmtId="0" fontId="8" fillId="8" borderId="0" xfId="0" applyFont="1" applyFill="1" applyBorder="1" applyAlignment="1" applyProtection="1"/>
    <xf numFmtId="0" fontId="8" fillId="2" borderId="8" xfId="0" applyFont="1" applyFill="1" applyBorder="1" applyAlignment="1" applyProtection="1"/>
    <xf numFmtId="0" fontId="8" fillId="0" borderId="14" xfId="0" applyFont="1" applyFill="1" applyBorder="1" applyAlignment="1">
      <alignment horizontal="center" vertical="center"/>
    </xf>
    <xf numFmtId="0" fontId="8" fillId="0" borderId="0" xfId="0" applyFont="1" applyBorder="1" applyAlignment="1" applyProtection="1">
      <alignment horizontal="center" vertical="center"/>
    </xf>
    <xf numFmtId="0" fontId="8" fillId="0" borderId="60" xfId="0" applyFont="1" applyFill="1" applyBorder="1"/>
    <xf numFmtId="0" fontId="0" fillId="0" borderId="0" xfId="0" applyFill="1" applyBorder="1" applyAlignment="1">
      <alignment wrapText="1"/>
    </xf>
    <xf numFmtId="0" fontId="14" fillId="0" borderId="0" xfId="0" applyFont="1" applyFill="1" applyBorder="1" applyAlignment="1">
      <alignment horizontal="center"/>
    </xf>
    <xf numFmtId="0" fontId="14" fillId="0" borderId="12" xfId="0" applyFont="1" applyFill="1" applyBorder="1" applyAlignment="1">
      <alignment horizontal="center"/>
    </xf>
    <xf numFmtId="0" fontId="8" fillId="2" borderId="7" xfId="0" applyFont="1" applyFill="1" applyBorder="1" applyAlignment="1" applyProtection="1">
      <alignment horizontal="left" vertical="top"/>
    </xf>
    <xf numFmtId="0" fontId="18" fillId="2" borderId="7" xfId="0" applyFont="1" applyFill="1" applyBorder="1" applyAlignment="1" applyProtection="1"/>
    <xf numFmtId="0" fontId="14" fillId="0" borderId="0" xfId="0" applyFont="1" applyAlignment="1" applyProtection="1">
      <alignment vertical="center"/>
    </xf>
    <xf numFmtId="0" fontId="8" fillId="0" borderId="0" xfId="0" applyFont="1" applyAlignment="1">
      <alignment vertical="center"/>
    </xf>
    <xf numFmtId="0" fontId="14" fillId="0" borderId="0" xfId="0" quotePrefix="1" applyFont="1" applyFill="1" applyAlignment="1" applyProtection="1">
      <alignment vertical="center"/>
    </xf>
    <xf numFmtId="0" fontId="9" fillId="0" borderId="0" xfId="0" applyFont="1" applyFill="1" applyBorder="1" applyAlignment="1" applyProtection="1">
      <alignment horizontal="left" vertical="top" wrapText="1"/>
    </xf>
    <xf numFmtId="0" fontId="24" fillId="0" borderId="0" xfId="1" applyFill="1" applyBorder="1" applyAlignment="1" applyProtection="1"/>
    <xf numFmtId="0" fontId="12" fillId="0" borderId="0" xfId="0" applyFont="1" applyFill="1" applyBorder="1" applyAlignment="1" applyProtection="1"/>
    <xf numFmtId="0" fontId="32" fillId="0" borderId="0" xfId="0" applyFont="1" applyFill="1" applyBorder="1" applyAlignment="1" applyProtection="1"/>
    <xf numFmtId="0" fontId="12" fillId="0" borderId="0" xfId="0" applyFont="1" applyFill="1"/>
    <xf numFmtId="0" fontId="12" fillId="0" borderId="0" xfId="0" applyFont="1" applyFill="1" applyBorder="1" applyAlignment="1" applyProtection="1">
      <alignment horizontal="left" vertical="top"/>
    </xf>
    <xf numFmtId="0" fontId="18" fillId="0" borderId="0" xfId="0" applyFont="1" applyFill="1" applyBorder="1" applyAlignment="1" applyProtection="1"/>
    <xf numFmtId="0" fontId="12" fillId="0" borderId="0" xfId="0" applyFont="1" applyFill="1" applyProtection="1"/>
    <xf numFmtId="0" fontId="24" fillId="0" borderId="0" xfId="1" applyFill="1" applyProtection="1"/>
    <xf numFmtId="0" fontId="8" fillId="2" borderId="0" xfId="0" applyFont="1" applyFill="1" applyBorder="1" applyAlignment="1" applyProtection="1">
      <protection locked="0"/>
    </xf>
    <xf numFmtId="0" fontId="8" fillId="2" borderId="2" xfId="0" applyFont="1" applyFill="1" applyBorder="1" applyProtection="1">
      <protection locked="0"/>
    </xf>
    <xf numFmtId="0" fontId="8" fillId="0" borderId="26" xfId="0" applyFont="1" applyBorder="1" applyAlignment="1">
      <alignment horizontal="center"/>
    </xf>
    <xf numFmtId="0" fontId="33" fillId="11" borderId="39" xfId="0" applyFont="1" applyFill="1" applyBorder="1" applyAlignment="1">
      <alignment horizontal="center" vertical="center"/>
    </xf>
    <xf numFmtId="2" fontId="8" fillId="0" borderId="20" xfId="0" applyNumberFormat="1" applyFont="1" applyBorder="1" applyAlignment="1">
      <alignment horizontal="center" vertical="center"/>
    </xf>
    <xf numFmtId="2" fontId="8" fillId="0" borderId="25" xfId="0" applyNumberFormat="1" applyFont="1" applyBorder="1" applyAlignment="1">
      <alignment horizontal="center" vertical="center"/>
    </xf>
    <xf numFmtId="0" fontId="8" fillId="0" borderId="26" xfId="0" applyFont="1" applyBorder="1" applyAlignment="1">
      <alignment horizontal="center" vertical="center"/>
    </xf>
    <xf numFmtId="0" fontId="8" fillId="16" borderId="50" xfId="0" applyFont="1" applyFill="1" applyBorder="1" applyAlignment="1">
      <alignment horizontal="center"/>
    </xf>
    <xf numFmtId="2" fontId="8" fillId="0" borderId="0" xfId="0" applyNumberFormat="1" applyFont="1"/>
    <xf numFmtId="3" fontId="8" fillId="0" borderId="13" xfId="0" applyNumberFormat="1" applyFont="1" applyBorder="1" applyAlignment="1" applyProtection="1">
      <alignment horizontal="center" vertical="center"/>
    </xf>
    <xf numFmtId="3" fontId="8" fillId="0" borderId="12" xfId="0" applyNumberFormat="1" applyFont="1" applyBorder="1" applyAlignment="1" applyProtection="1">
      <alignment horizontal="center" vertical="center"/>
    </xf>
    <xf numFmtId="0" fontId="9" fillId="0" borderId="22" xfId="0" applyFont="1" applyBorder="1" applyProtection="1"/>
    <xf numFmtId="166" fontId="8" fillId="0" borderId="23" xfId="0" applyNumberFormat="1" applyFont="1" applyBorder="1" applyAlignment="1" applyProtection="1">
      <alignment horizontal="center"/>
    </xf>
    <xf numFmtId="0" fontId="8" fillId="11" borderId="3" xfId="0" applyFont="1" applyFill="1" applyBorder="1" applyAlignment="1" applyProtection="1"/>
    <xf numFmtId="0" fontId="13" fillId="11" borderId="8" xfId="0" applyFont="1" applyFill="1" applyBorder="1" applyAlignment="1" applyProtection="1"/>
    <xf numFmtId="0" fontId="8" fillId="11" borderId="0" xfId="0" applyFont="1" applyFill="1" applyBorder="1" applyAlignment="1" applyProtection="1"/>
    <xf numFmtId="2" fontId="8" fillId="11" borderId="24" xfId="0" applyNumberFormat="1" applyFont="1" applyFill="1" applyBorder="1" applyAlignment="1" applyProtection="1">
      <alignment horizontal="center" vertical="center"/>
    </xf>
    <xf numFmtId="0" fontId="8" fillId="11" borderId="25" xfId="0" applyFont="1" applyFill="1" applyBorder="1" applyAlignment="1" applyProtection="1">
      <alignment horizontal="center" vertical="center"/>
    </xf>
    <xf numFmtId="2" fontId="8" fillId="11" borderId="26" xfId="0" applyNumberFormat="1" applyFont="1" applyFill="1" applyBorder="1" applyAlignment="1" applyProtection="1">
      <alignment horizontal="center" vertical="center"/>
    </xf>
    <xf numFmtId="0" fontId="9" fillId="11" borderId="21" xfId="0" applyFont="1" applyFill="1" applyBorder="1" applyAlignment="1" applyProtection="1">
      <alignment horizontal="center" vertical="center"/>
    </xf>
    <xf numFmtId="3" fontId="8" fillId="11" borderId="0" xfId="0" applyNumberFormat="1" applyFont="1" applyFill="1" applyBorder="1" applyAlignment="1" applyProtection="1">
      <alignment horizontal="center" vertical="center"/>
    </xf>
    <xf numFmtId="3" fontId="8" fillId="11" borderId="62" xfId="0" applyNumberFormat="1" applyFont="1" applyFill="1" applyBorder="1" applyAlignment="1" applyProtection="1">
      <alignment horizontal="center" vertical="center"/>
    </xf>
    <xf numFmtId="0" fontId="8" fillId="11" borderId="62" xfId="0" applyFont="1" applyFill="1" applyBorder="1" applyAlignment="1" applyProtection="1">
      <alignment horizontal="left" vertical="center"/>
    </xf>
    <xf numFmtId="3" fontId="8" fillId="11" borderId="80" xfId="0" applyNumberFormat="1" applyFont="1" applyFill="1" applyBorder="1" applyAlignment="1" applyProtection="1">
      <alignment horizontal="center" vertical="center"/>
    </xf>
    <xf numFmtId="0" fontId="8" fillId="17" borderId="68" xfId="0" applyFont="1" applyFill="1" applyBorder="1" applyAlignment="1" applyProtection="1">
      <alignment horizontal="center" vertical="center"/>
    </xf>
    <xf numFmtId="164" fontId="8" fillId="17" borderId="56" xfId="0" applyNumberFormat="1" applyFont="1" applyFill="1" applyBorder="1" applyAlignment="1" applyProtection="1">
      <alignment horizontal="center" vertical="center"/>
    </xf>
    <xf numFmtId="164" fontId="8" fillId="17" borderId="57" xfId="0" applyNumberFormat="1" applyFont="1" applyFill="1" applyBorder="1" applyAlignment="1" applyProtection="1">
      <alignment horizontal="center" vertical="center"/>
    </xf>
    <xf numFmtId="3" fontId="8" fillId="17" borderId="65" xfId="0" applyNumberFormat="1" applyFont="1" applyFill="1" applyBorder="1" applyAlignment="1" applyProtection="1">
      <alignment horizontal="center" vertical="center"/>
    </xf>
    <xf numFmtId="3" fontId="8" fillId="17" borderId="63" xfId="0" applyNumberFormat="1" applyFont="1" applyFill="1" applyBorder="1" applyAlignment="1" applyProtection="1">
      <alignment horizontal="center" vertical="center"/>
    </xf>
    <xf numFmtId="3" fontId="8" fillId="17" borderId="66" xfId="0" applyNumberFormat="1" applyFont="1" applyFill="1" applyBorder="1" applyAlignment="1" applyProtection="1">
      <alignment horizontal="center" vertical="center"/>
    </xf>
    <xf numFmtId="0" fontId="9" fillId="17" borderId="27" xfId="0" applyFont="1" applyFill="1" applyBorder="1" applyAlignment="1" applyProtection="1">
      <alignment horizontal="center" vertical="center"/>
    </xf>
    <xf numFmtId="164" fontId="9" fillId="17" borderId="15" xfId="0" applyNumberFormat="1" applyFont="1" applyFill="1" applyBorder="1" applyAlignment="1" applyProtection="1">
      <alignment horizontal="center" vertical="center"/>
    </xf>
    <xf numFmtId="3" fontId="9" fillId="17" borderId="17" xfId="0" applyNumberFormat="1" applyFont="1" applyFill="1" applyBorder="1" applyAlignment="1" applyProtection="1">
      <alignment horizontal="center" vertical="center"/>
    </xf>
    <xf numFmtId="165" fontId="8" fillId="17" borderId="22" xfId="0" applyNumberFormat="1" applyFont="1" applyFill="1" applyBorder="1" applyAlignment="1" applyProtection="1">
      <alignment horizontal="center" vertical="center"/>
    </xf>
    <xf numFmtId="165" fontId="8" fillId="17" borderId="12" xfId="0" applyNumberFormat="1" applyFont="1" applyFill="1" applyBorder="1" applyAlignment="1" applyProtection="1">
      <alignment horizontal="center" vertical="center"/>
    </xf>
    <xf numFmtId="165" fontId="8" fillId="17" borderId="23" xfId="0" applyNumberFormat="1" applyFont="1" applyFill="1" applyBorder="1" applyAlignment="1" applyProtection="1">
      <alignment horizontal="center" vertical="center"/>
    </xf>
    <xf numFmtId="165" fontId="8" fillId="17" borderId="59" xfId="0" applyNumberFormat="1" applyFont="1" applyFill="1" applyBorder="1" applyAlignment="1" applyProtection="1">
      <alignment horizontal="center" vertical="center"/>
    </xf>
    <xf numFmtId="165" fontId="8" fillId="17" borderId="14" xfId="0" applyNumberFormat="1" applyFont="1" applyFill="1" applyBorder="1" applyAlignment="1" applyProtection="1">
      <alignment horizontal="center" vertical="center"/>
    </xf>
    <xf numFmtId="165" fontId="8" fillId="17" borderId="55" xfId="0" applyNumberFormat="1" applyFont="1" applyFill="1" applyBorder="1" applyAlignment="1" applyProtection="1">
      <alignment horizontal="center" vertical="center"/>
    </xf>
    <xf numFmtId="3" fontId="8" fillId="17" borderId="38" xfId="0" applyNumberFormat="1" applyFont="1" applyFill="1" applyBorder="1" applyAlignment="1" applyProtection="1">
      <alignment horizontal="center" vertical="center"/>
    </xf>
    <xf numFmtId="3" fontId="9" fillId="17" borderId="40" xfId="0" applyNumberFormat="1" applyFont="1" applyFill="1" applyBorder="1" applyAlignment="1" applyProtection="1">
      <alignment horizontal="center" vertical="center"/>
    </xf>
    <xf numFmtId="3" fontId="9" fillId="17" borderId="41" xfId="0" applyNumberFormat="1" applyFont="1" applyFill="1" applyBorder="1" applyAlignment="1" applyProtection="1">
      <alignment horizontal="center" vertical="center"/>
    </xf>
    <xf numFmtId="3" fontId="9" fillId="17" borderId="42" xfId="0" applyNumberFormat="1" applyFont="1" applyFill="1" applyBorder="1" applyAlignment="1" applyProtection="1">
      <alignment horizontal="center" vertical="center"/>
    </xf>
    <xf numFmtId="0" fontId="8" fillId="0" borderId="34" xfId="0" applyFont="1" applyBorder="1" applyProtection="1"/>
    <xf numFmtId="0" fontId="9" fillId="0" borderId="16" xfId="0" applyFont="1" applyBorder="1" applyAlignment="1" applyProtection="1">
      <alignment horizontal="center" vertical="center"/>
    </xf>
    <xf numFmtId="0" fontId="8" fillId="0" borderId="16" xfId="0" applyFont="1" applyBorder="1" applyAlignment="1" applyProtection="1">
      <alignment horizontal="center" vertical="center"/>
    </xf>
    <xf numFmtId="2" fontId="0" fillId="0" borderId="35" xfId="0" applyNumberFormat="1" applyBorder="1" applyAlignment="1" applyProtection="1">
      <alignment horizontal="center" vertical="center"/>
    </xf>
    <xf numFmtId="0" fontId="9" fillId="0" borderId="22" xfId="0" applyFont="1" applyBorder="1" applyAlignment="1" applyProtection="1">
      <alignment horizontal="center" vertical="center"/>
    </xf>
    <xf numFmtId="0" fontId="8" fillId="0" borderId="22" xfId="0" applyFont="1" applyBorder="1" applyAlignment="1" applyProtection="1">
      <alignment horizontal="center" vertical="center"/>
    </xf>
    <xf numFmtId="166" fontId="8" fillId="0" borderId="24" xfId="0" applyNumberFormat="1" applyFont="1" applyBorder="1" applyAlignment="1" applyProtection="1">
      <alignment horizontal="center" vertical="center"/>
    </xf>
    <xf numFmtId="166" fontId="8" fillId="0" borderId="25" xfId="0" applyNumberFormat="1" applyFont="1" applyBorder="1" applyAlignment="1" applyProtection="1">
      <alignment horizontal="center" vertical="center"/>
    </xf>
    <xf numFmtId="166" fontId="8" fillId="0" borderId="26" xfId="0" applyNumberFormat="1" applyFont="1" applyBorder="1" applyAlignment="1" applyProtection="1">
      <alignment horizontal="center" vertical="center"/>
    </xf>
    <xf numFmtId="0" fontId="8" fillId="0" borderId="2" xfId="0" applyFont="1" applyBorder="1" applyAlignment="1" applyProtection="1">
      <alignment horizontal="center" vertical="center"/>
    </xf>
    <xf numFmtId="0" fontId="8" fillId="0" borderId="3" xfId="0" applyFont="1" applyBorder="1" applyAlignment="1" applyProtection="1">
      <alignment horizontal="center" vertical="center"/>
    </xf>
    <xf numFmtId="0" fontId="8" fillId="0" borderId="4" xfId="0" applyFont="1" applyBorder="1" applyAlignment="1" applyProtection="1">
      <alignment horizontal="center" vertical="center"/>
    </xf>
    <xf numFmtId="0" fontId="8" fillId="0" borderId="5" xfId="0" applyFont="1" applyBorder="1" applyAlignment="1" applyProtection="1">
      <alignment horizontal="center" vertical="center"/>
    </xf>
    <xf numFmtId="0" fontId="8" fillId="0" borderId="6" xfId="0" applyFont="1" applyBorder="1" applyAlignment="1" applyProtection="1">
      <alignment horizontal="center" vertical="center"/>
    </xf>
    <xf numFmtId="0" fontId="8" fillId="0" borderId="7" xfId="0" applyFont="1" applyBorder="1" applyAlignment="1" applyProtection="1">
      <alignment horizontal="center" vertical="center"/>
    </xf>
    <xf numFmtId="0" fontId="8" fillId="0" borderId="8" xfId="0" applyFont="1" applyBorder="1" applyAlignment="1" applyProtection="1">
      <alignment horizontal="center" vertical="center"/>
    </xf>
    <xf numFmtId="3" fontId="14" fillId="0" borderId="0" xfId="0" applyNumberFormat="1" applyFont="1" applyBorder="1" applyAlignment="1" applyProtection="1">
      <alignment horizontal="center" vertical="center"/>
    </xf>
    <xf numFmtId="0" fontId="42" fillId="0" borderId="0" xfId="0" applyFont="1" applyBorder="1" applyAlignment="1" applyProtection="1">
      <alignment horizontal="center" vertical="center" wrapText="1"/>
    </xf>
    <xf numFmtId="0" fontId="8" fillId="8" borderId="69" xfId="0" applyFont="1" applyFill="1" applyBorder="1" applyAlignment="1" applyProtection="1">
      <alignment horizontal="center" vertical="center"/>
    </xf>
    <xf numFmtId="0" fontId="8" fillId="8" borderId="4" xfId="0" applyFont="1" applyFill="1" applyBorder="1" applyProtection="1"/>
    <xf numFmtId="0" fontId="8" fillId="8" borderId="66" xfId="0" applyFont="1" applyFill="1" applyBorder="1" applyAlignment="1" applyProtection="1">
      <alignment horizontal="center"/>
    </xf>
    <xf numFmtId="0" fontId="8" fillId="8" borderId="70" xfId="0" applyFont="1" applyFill="1" applyBorder="1" applyProtection="1"/>
    <xf numFmtId="0" fontId="14" fillId="8" borderId="43" xfId="0" applyFont="1" applyFill="1" applyBorder="1" applyAlignment="1" applyProtection="1">
      <alignment horizontal="center" vertical="center"/>
    </xf>
    <xf numFmtId="0" fontId="8" fillId="8" borderId="64" xfId="0" applyFont="1" applyFill="1" applyBorder="1" applyAlignment="1" applyProtection="1">
      <alignment horizontal="center"/>
    </xf>
    <xf numFmtId="3" fontId="8" fillId="8" borderId="47" xfId="0" applyNumberFormat="1" applyFont="1" applyFill="1" applyBorder="1" applyAlignment="1" applyProtection="1">
      <alignment horizontal="center" vertical="center"/>
    </xf>
    <xf numFmtId="3" fontId="8" fillId="8" borderId="21" xfId="0" applyNumberFormat="1" applyFont="1" applyFill="1" applyBorder="1" applyAlignment="1" applyProtection="1">
      <alignment horizontal="center" vertical="center"/>
    </xf>
    <xf numFmtId="3" fontId="8" fillId="8" borderId="70" xfId="0" applyNumberFormat="1" applyFont="1" applyFill="1" applyBorder="1" applyAlignment="1" applyProtection="1">
      <alignment horizontal="center" vertical="center"/>
    </xf>
    <xf numFmtId="3" fontId="8" fillId="8" borderId="51" xfId="0" applyNumberFormat="1" applyFont="1" applyFill="1" applyBorder="1" applyAlignment="1" applyProtection="1">
      <alignment horizontal="center" vertical="center"/>
    </xf>
    <xf numFmtId="3" fontId="8" fillId="8" borderId="62" xfId="0" applyNumberFormat="1" applyFont="1" applyFill="1" applyBorder="1" applyAlignment="1" applyProtection="1">
      <alignment horizontal="center" vertical="center"/>
    </xf>
    <xf numFmtId="3" fontId="8" fillId="8" borderId="33" xfId="0" applyNumberFormat="1" applyFont="1" applyFill="1" applyBorder="1" applyAlignment="1" applyProtection="1">
      <alignment horizontal="center" vertical="center"/>
    </xf>
    <xf numFmtId="3" fontId="8" fillId="8" borderId="58" xfId="0" applyNumberFormat="1" applyFont="1" applyFill="1" applyBorder="1" applyAlignment="1" applyProtection="1">
      <alignment horizontal="center" vertical="center"/>
    </xf>
    <xf numFmtId="3" fontId="8" fillId="8" borderId="80" xfId="0" applyNumberFormat="1" applyFont="1" applyFill="1" applyBorder="1" applyAlignment="1" applyProtection="1">
      <alignment horizontal="center" vertical="center"/>
    </xf>
    <xf numFmtId="3" fontId="8" fillId="8" borderId="71" xfId="0" applyNumberFormat="1" applyFont="1" applyFill="1" applyBorder="1" applyAlignment="1" applyProtection="1">
      <alignment horizontal="center" vertical="center"/>
    </xf>
    <xf numFmtId="3" fontId="9" fillId="8" borderId="40" xfId="0" applyNumberFormat="1" applyFont="1" applyFill="1" applyBorder="1" applyAlignment="1" applyProtection="1">
      <alignment horizontal="center" vertical="center"/>
    </xf>
    <xf numFmtId="3" fontId="9" fillId="8" borderId="39" xfId="0" applyNumberFormat="1" applyFont="1" applyFill="1" applyBorder="1" applyAlignment="1" applyProtection="1">
      <alignment horizontal="center" vertical="center"/>
    </xf>
    <xf numFmtId="3" fontId="9" fillId="8" borderId="50" xfId="0" applyNumberFormat="1" applyFont="1" applyFill="1" applyBorder="1" applyAlignment="1" applyProtection="1">
      <alignment horizontal="center" vertical="center"/>
    </xf>
    <xf numFmtId="165" fontId="14" fillId="2" borderId="0" xfId="0" applyNumberFormat="1" applyFont="1" applyFill="1" applyBorder="1" applyAlignment="1" applyProtection="1">
      <alignment horizontal="center" vertical="center"/>
    </xf>
    <xf numFmtId="0" fontId="33" fillId="8" borderId="46" xfId="0" applyFont="1" applyFill="1" applyBorder="1" applyAlignment="1" applyProtection="1">
      <alignment vertical="center"/>
    </xf>
    <xf numFmtId="0" fontId="33" fillId="8" borderId="48" xfId="0" applyFont="1" applyFill="1" applyBorder="1" applyAlignment="1" applyProtection="1">
      <alignment vertical="center"/>
    </xf>
    <xf numFmtId="0" fontId="14" fillId="2" borderId="51" xfId="0" applyFont="1" applyFill="1" applyBorder="1" applyAlignment="1" applyProtection="1">
      <alignment vertical="center"/>
    </xf>
    <xf numFmtId="0" fontId="14" fillId="2" borderId="62" xfId="0" applyFont="1" applyFill="1" applyBorder="1" applyAlignment="1" applyProtection="1">
      <alignment vertical="center"/>
    </xf>
    <xf numFmtId="0" fontId="14" fillId="2" borderId="52" xfId="0" applyFont="1" applyFill="1" applyBorder="1" applyAlignment="1" applyProtection="1">
      <alignment vertical="center"/>
    </xf>
    <xf numFmtId="0" fontId="14" fillId="2" borderId="61" xfId="0" applyFont="1" applyFill="1" applyBorder="1" applyAlignment="1" applyProtection="1">
      <alignment vertical="center"/>
    </xf>
    <xf numFmtId="0" fontId="9" fillId="2" borderId="0" xfId="0" applyFont="1" applyFill="1" applyBorder="1" applyAlignment="1" applyProtection="1">
      <alignment vertical="center"/>
    </xf>
    <xf numFmtId="0" fontId="14" fillId="2" borderId="19" xfId="0" applyFont="1" applyFill="1" applyBorder="1" applyAlignment="1" applyProtection="1">
      <alignment horizontal="center" vertical="center"/>
    </xf>
    <xf numFmtId="3" fontId="14" fillId="2" borderId="24" xfId="0" applyNumberFormat="1" applyFont="1" applyFill="1" applyBorder="1" applyAlignment="1" applyProtection="1">
      <alignment horizontal="center" vertical="center"/>
    </xf>
    <xf numFmtId="0" fontId="4" fillId="11" borderId="4" xfId="0" applyFont="1" applyFill="1" applyBorder="1" applyAlignment="1" applyProtection="1">
      <alignment horizontal="left" vertical="center"/>
    </xf>
    <xf numFmtId="165" fontId="14" fillId="2" borderId="0" xfId="1" applyNumberFormat="1" applyFont="1" applyFill="1" applyBorder="1" applyAlignment="1" applyProtection="1">
      <alignment horizontal="center" vertical="center"/>
    </xf>
    <xf numFmtId="3" fontId="8" fillId="0" borderId="0" xfId="0" applyNumberFormat="1" applyFont="1" applyFill="1" applyProtection="1"/>
    <xf numFmtId="0" fontId="33" fillId="9" borderId="6" xfId="0" applyFont="1" applyFill="1" applyBorder="1" applyAlignment="1" applyProtection="1">
      <alignment horizontal="left" vertical="center"/>
    </xf>
    <xf numFmtId="0" fontId="14" fillId="2" borderId="0" xfId="0" applyFont="1" applyFill="1" applyBorder="1" applyAlignment="1" applyProtection="1">
      <alignment wrapText="1"/>
    </xf>
    <xf numFmtId="3" fontId="61" fillId="8" borderId="55" xfId="0" applyNumberFormat="1" applyFont="1" applyFill="1" applyBorder="1" applyAlignment="1" applyProtection="1">
      <alignment horizontal="center" vertical="center"/>
    </xf>
    <xf numFmtId="0" fontId="8" fillId="2" borderId="7" xfId="0" applyFont="1" applyFill="1" applyBorder="1" applyAlignment="1" applyProtection="1">
      <alignment vertical="center" wrapText="1"/>
    </xf>
    <xf numFmtId="0" fontId="18" fillId="2" borderId="7" xfId="0" applyFont="1" applyFill="1" applyBorder="1" applyAlignment="1" applyProtection="1">
      <alignment vertical="center"/>
    </xf>
    <xf numFmtId="0" fontId="8" fillId="2" borderId="2" xfId="0" applyFont="1" applyFill="1" applyBorder="1" applyAlignment="1" applyProtection="1">
      <alignment horizontal="left" vertical="center" wrapText="1"/>
    </xf>
    <xf numFmtId="0" fontId="8" fillId="2" borderId="2" xfId="0" applyFont="1" applyFill="1" applyBorder="1" applyAlignment="1" applyProtection="1">
      <alignment vertical="center"/>
    </xf>
    <xf numFmtId="0" fontId="11" fillId="0" borderId="12" xfId="0" applyFont="1" applyFill="1" applyBorder="1" applyAlignment="1">
      <alignment horizontal="left" vertical="center"/>
    </xf>
    <xf numFmtId="0" fontId="11" fillId="0" borderId="12" xfId="0" applyFont="1" applyFill="1" applyBorder="1" applyAlignment="1">
      <alignment horizontal="left" vertical="center" wrapText="1"/>
    </xf>
    <xf numFmtId="0" fontId="11" fillId="0" borderId="0" xfId="0" applyFont="1" applyFill="1" applyBorder="1" applyAlignment="1">
      <alignment textRotation="90"/>
    </xf>
    <xf numFmtId="0" fontId="12" fillId="0" borderId="0" xfId="0" applyFont="1" applyFill="1" applyBorder="1" applyAlignment="1" applyProtection="1">
      <alignment vertical="center"/>
    </xf>
    <xf numFmtId="0" fontId="32" fillId="0" borderId="0" xfId="0" applyFont="1" applyFill="1" applyBorder="1" applyAlignment="1" applyProtection="1">
      <alignment vertical="center"/>
    </xf>
    <xf numFmtId="0" fontId="18" fillId="0" borderId="0" xfId="0" applyFont="1" applyFill="1" applyBorder="1" applyAlignment="1" applyProtection="1">
      <alignment vertical="center"/>
    </xf>
    <xf numFmtId="3" fontId="6" fillId="11" borderId="12" xfId="0" applyNumberFormat="1" applyFont="1" applyFill="1" applyBorder="1" applyAlignment="1" applyProtection="1">
      <alignment horizontal="center" vertical="center"/>
    </xf>
    <xf numFmtId="164" fontId="8" fillId="20" borderId="12" xfId="0" applyNumberFormat="1" applyFont="1" applyFill="1" applyBorder="1" applyAlignment="1">
      <alignment horizontal="center"/>
    </xf>
    <xf numFmtId="164" fontId="8" fillId="20" borderId="25" xfId="0" applyNumberFormat="1" applyFont="1" applyFill="1" applyBorder="1" applyAlignment="1">
      <alignment horizontal="center"/>
    </xf>
    <xf numFmtId="164" fontId="8" fillId="20" borderId="12" xfId="0" applyNumberFormat="1" applyFont="1" applyFill="1" applyBorder="1" applyAlignment="1">
      <alignment horizontal="center" vertical="center"/>
    </xf>
    <xf numFmtId="164" fontId="8" fillId="0" borderId="0" xfId="0" applyNumberFormat="1" applyFont="1"/>
    <xf numFmtId="1" fontId="8" fillId="0" borderId="0" xfId="0" applyNumberFormat="1" applyFont="1" applyAlignment="1">
      <alignment horizontal="center" vertical="center"/>
    </xf>
    <xf numFmtId="0" fontId="8" fillId="0" borderId="16" xfId="0" applyFont="1" applyBorder="1" applyAlignment="1">
      <alignment horizontal="center" vertical="center"/>
    </xf>
    <xf numFmtId="0" fontId="8" fillId="0" borderId="16" xfId="0" applyFont="1" applyBorder="1" applyAlignment="1">
      <alignment horizontal="center"/>
    </xf>
    <xf numFmtId="0" fontId="8" fillId="0" borderId="35" xfId="0" applyFont="1" applyBorder="1" applyAlignment="1">
      <alignment horizontal="center"/>
    </xf>
    <xf numFmtId="0" fontId="8" fillId="0" borderId="30" xfId="0" applyFont="1" applyBorder="1"/>
    <xf numFmtId="0" fontId="8" fillId="0" borderId="33" xfId="0" applyFont="1" applyBorder="1" applyAlignment="1">
      <alignment horizontal="center" vertical="center"/>
    </xf>
    <xf numFmtId="1" fontId="8" fillId="0" borderId="33" xfId="0" applyNumberFormat="1" applyFont="1" applyBorder="1" applyAlignment="1">
      <alignment horizontal="center" vertical="center"/>
    </xf>
    <xf numFmtId="1" fontId="8" fillId="0" borderId="31" xfId="0" applyNumberFormat="1" applyFont="1" applyBorder="1" applyAlignment="1">
      <alignment horizontal="center" vertical="center"/>
    </xf>
    <xf numFmtId="1" fontId="8" fillId="0" borderId="0" xfId="0" applyNumberFormat="1" applyFont="1" applyFill="1" applyBorder="1" applyAlignment="1" applyProtection="1">
      <alignment horizontal="center" vertical="center"/>
    </xf>
    <xf numFmtId="164" fontId="8" fillId="0" borderId="0" xfId="0" applyNumberFormat="1" applyFont="1" applyFill="1" applyBorder="1" applyAlignment="1" applyProtection="1">
      <alignment horizontal="center" vertical="center"/>
    </xf>
    <xf numFmtId="2" fontId="8" fillId="0" borderId="0" xfId="0" applyNumberFormat="1" applyFont="1" applyFill="1" applyBorder="1" applyAlignment="1" applyProtection="1">
      <alignment horizontal="center" vertical="center"/>
    </xf>
    <xf numFmtId="3" fontId="8" fillId="0" borderId="0" xfId="0" applyNumberFormat="1" applyFont="1" applyFill="1" applyBorder="1" applyAlignment="1" applyProtection="1">
      <alignment horizontal="center" vertical="center"/>
    </xf>
    <xf numFmtId="0" fontId="8" fillId="0" borderId="1" xfId="0" applyFont="1" applyFill="1" applyBorder="1" applyAlignment="1" applyProtection="1"/>
    <xf numFmtId="0" fontId="8" fillId="0" borderId="2" xfId="0" applyFont="1" applyFill="1" applyBorder="1" applyAlignment="1" applyProtection="1">
      <alignment horizontal="center" vertical="center"/>
    </xf>
    <xf numFmtId="0" fontId="8" fillId="0" borderId="2" xfId="0" applyFont="1" applyFill="1" applyBorder="1" applyAlignment="1" applyProtection="1"/>
    <xf numFmtId="0" fontId="8" fillId="0" borderId="3" xfId="0" applyFont="1" applyFill="1" applyBorder="1" applyAlignment="1" applyProtection="1">
      <alignment horizontal="center" vertical="center"/>
    </xf>
    <xf numFmtId="0" fontId="8" fillId="0" borderId="4" xfId="0" applyFont="1" applyFill="1" applyBorder="1" applyAlignment="1" applyProtection="1"/>
    <xf numFmtId="0" fontId="8" fillId="0" borderId="5" xfId="0" applyFont="1" applyFill="1" applyBorder="1" applyAlignment="1" applyProtection="1">
      <alignment horizontal="center" vertical="center"/>
    </xf>
    <xf numFmtId="0" fontId="8" fillId="0" borderId="5" xfId="0" applyFont="1" applyFill="1" applyBorder="1" applyAlignment="1" applyProtection="1"/>
    <xf numFmtId="0" fontId="8" fillId="0" borderId="6" xfId="0" applyFont="1" applyFill="1" applyBorder="1" applyAlignment="1" applyProtection="1"/>
    <xf numFmtId="0" fontId="8" fillId="0" borderId="7" xfId="0" applyFont="1" applyFill="1" applyBorder="1" applyAlignment="1" applyProtection="1"/>
    <xf numFmtId="0" fontId="8" fillId="0" borderId="8" xfId="0" applyFont="1" applyFill="1" applyBorder="1" applyAlignment="1" applyProtection="1"/>
    <xf numFmtId="3" fontId="9" fillId="10" borderId="0" xfId="0" applyNumberFormat="1" applyFont="1" applyFill="1" applyBorder="1" applyAlignment="1" applyProtection="1">
      <alignment horizontal="center" vertical="center"/>
    </xf>
    <xf numFmtId="1" fontId="14" fillId="2" borderId="0" xfId="0" applyNumberFormat="1" applyFont="1" applyFill="1" applyBorder="1" applyAlignment="1" applyProtection="1">
      <alignment horizontal="center" vertical="center"/>
    </xf>
    <xf numFmtId="0" fontId="0" fillId="0" borderId="0" xfId="0" applyAlignment="1">
      <alignment horizontal="center" vertical="center"/>
    </xf>
    <xf numFmtId="0" fontId="69" fillId="0" borderId="0" xfId="0" applyFont="1" applyBorder="1" applyAlignment="1" applyProtection="1">
      <alignment wrapText="1"/>
    </xf>
    <xf numFmtId="3" fontId="0" fillId="0" borderId="0" xfId="0" applyNumberFormat="1" applyBorder="1" applyAlignment="1" applyProtection="1">
      <alignment horizontal="center" vertical="center"/>
    </xf>
    <xf numFmtId="3" fontId="0" fillId="0" borderId="0" xfId="0" applyNumberFormat="1" applyBorder="1" applyAlignment="1">
      <alignment horizontal="center" vertical="center"/>
    </xf>
    <xf numFmtId="0" fontId="41" fillId="0" borderId="0" xfId="0" applyFont="1" applyBorder="1" applyAlignment="1" applyProtection="1">
      <alignment horizontal="center" vertical="center" wrapText="1"/>
    </xf>
    <xf numFmtId="0" fontId="41" fillId="0" borderId="0" xfId="0" applyFont="1" applyBorder="1" applyAlignment="1" applyProtection="1">
      <alignment wrapText="1"/>
    </xf>
    <xf numFmtId="1" fontId="0" fillId="0" borderId="5" xfId="0" applyNumberFormat="1" applyFill="1" applyBorder="1" applyAlignment="1" applyProtection="1">
      <alignment horizontal="center" vertical="center"/>
    </xf>
    <xf numFmtId="1" fontId="14" fillId="0" borderId="5" xfId="0" applyNumberFormat="1" applyFont="1" applyBorder="1" applyAlignment="1" applyProtection="1">
      <alignment horizontal="center" vertical="center"/>
    </xf>
    <xf numFmtId="0" fontId="14" fillId="0" borderId="4" xfId="0" applyFont="1" applyBorder="1" applyAlignment="1" applyProtection="1">
      <alignment horizontal="center" vertical="center"/>
    </xf>
    <xf numFmtId="0" fontId="0" fillId="0" borderId="6" xfId="0" applyBorder="1" applyAlignment="1">
      <alignment horizontal="right" vertical="center"/>
    </xf>
    <xf numFmtId="3" fontId="0" fillId="0" borderId="0" xfId="0" applyNumberFormat="1" applyFont="1" applyFill="1" applyBorder="1" applyAlignment="1" applyProtection="1">
      <alignment horizontal="center" vertical="center"/>
    </xf>
    <xf numFmtId="3" fontId="0" fillId="0" borderId="0" xfId="0" applyNumberFormat="1" applyFont="1" applyBorder="1" applyAlignment="1">
      <alignment horizontal="center" vertical="center"/>
    </xf>
    <xf numFmtId="3" fontId="0" fillId="0" borderId="0" xfId="0" applyNumberFormat="1" applyFont="1" applyBorder="1" applyAlignment="1" applyProtection="1">
      <alignment horizontal="center" vertical="center"/>
    </xf>
    <xf numFmtId="1" fontId="0" fillId="0" borderId="0" xfId="0" applyNumberFormat="1" applyFont="1" applyFill="1" applyBorder="1" applyAlignment="1" applyProtection="1">
      <alignment horizontal="center" vertical="center"/>
    </xf>
    <xf numFmtId="1" fontId="0" fillId="0" borderId="5" xfId="0" applyNumberFormat="1" applyFont="1" applyFill="1" applyBorder="1" applyAlignment="1" applyProtection="1">
      <alignment horizontal="center" vertical="center"/>
    </xf>
    <xf numFmtId="10" fontId="54" fillId="7" borderId="12" xfId="0" applyNumberFormat="1" applyFont="1" applyFill="1" applyBorder="1" applyAlignment="1" applyProtection="1">
      <alignment horizontal="center" vertical="center"/>
    </xf>
    <xf numFmtId="3" fontId="33" fillId="9" borderId="45" xfId="0" applyNumberFormat="1" applyFont="1" applyFill="1" applyBorder="1" applyAlignment="1" applyProtection="1">
      <alignment horizontal="center" vertical="center"/>
    </xf>
    <xf numFmtId="3" fontId="33" fillId="9" borderId="42" xfId="0" applyNumberFormat="1" applyFont="1" applyFill="1" applyBorder="1" applyAlignment="1" applyProtection="1">
      <alignment horizontal="center" vertical="center"/>
    </xf>
    <xf numFmtId="3" fontId="0" fillId="0" borderId="0" xfId="0" applyNumberFormat="1"/>
    <xf numFmtId="3" fontId="0" fillId="0" borderId="0" xfId="0" applyNumberFormat="1" applyFill="1"/>
    <xf numFmtId="0" fontId="14" fillId="0" borderId="5" xfId="0" applyFont="1" applyFill="1" applyBorder="1" applyAlignment="1" applyProtection="1">
      <alignment horizontal="center" vertical="center"/>
    </xf>
    <xf numFmtId="0" fontId="0" fillId="0" borderId="5" xfId="0" applyFill="1" applyBorder="1" applyAlignment="1" applyProtection="1">
      <alignment horizontal="center" vertical="center"/>
    </xf>
    <xf numFmtId="0" fontId="8" fillId="0" borderId="5" xfId="0" applyFont="1" applyBorder="1" applyProtection="1"/>
    <xf numFmtId="0" fontId="8" fillId="0" borderId="6" xfId="0" applyFont="1" applyBorder="1" applyProtection="1"/>
    <xf numFmtId="0" fontId="8" fillId="0" borderId="7" xfId="0" applyFont="1" applyBorder="1" applyProtection="1"/>
    <xf numFmtId="0" fontId="8" fillId="0" borderId="8" xfId="0" applyFont="1" applyBorder="1" applyProtection="1"/>
    <xf numFmtId="0" fontId="45" fillId="9" borderId="72" xfId="0" applyFont="1" applyFill="1" applyBorder="1" applyAlignment="1" applyProtection="1">
      <alignment horizontal="left" vertical="center"/>
    </xf>
    <xf numFmtId="0" fontId="9" fillId="0" borderId="2" xfId="0" applyFont="1" applyFill="1" applyBorder="1" applyAlignment="1" applyProtection="1">
      <alignment horizontal="center" vertical="center"/>
    </xf>
    <xf numFmtId="3" fontId="9" fillId="0" borderId="0" xfId="0" applyNumberFormat="1" applyFont="1" applyFill="1" applyBorder="1" applyAlignment="1" applyProtection="1">
      <alignment horizontal="center" vertical="center"/>
    </xf>
    <xf numFmtId="0" fontId="14" fillId="0" borderId="0" xfId="0" quotePrefix="1" applyFont="1" applyFill="1" applyAlignment="1" applyProtection="1">
      <alignment horizontal="right" vertical="center"/>
    </xf>
    <xf numFmtId="0" fontId="9" fillId="0" borderId="0" xfId="0" applyFont="1" applyFill="1" applyBorder="1" applyAlignment="1" applyProtection="1">
      <alignment horizontal="center" vertical="center"/>
    </xf>
    <xf numFmtId="0" fontId="41" fillId="2" borderId="0" xfId="0" applyFont="1" applyFill="1" applyBorder="1" applyAlignment="1" applyProtection="1">
      <alignment vertical="center" wrapText="1"/>
    </xf>
    <xf numFmtId="0" fontId="8" fillId="0" borderId="0" xfId="0" applyFont="1" applyFill="1" applyBorder="1" applyAlignment="1" applyProtection="1">
      <alignment vertical="center"/>
    </xf>
    <xf numFmtId="0" fontId="8" fillId="0" borderId="0" xfId="0" applyFont="1" applyFill="1" applyBorder="1" applyAlignment="1" applyProtection="1">
      <alignment horizontal="right" vertical="center"/>
    </xf>
    <xf numFmtId="0" fontId="8" fillId="0" borderId="2" xfId="0" applyFont="1" applyBorder="1" applyProtection="1"/>
    <xf numFmtId="0" fontId="8" fillId="0" borderId="0" xfId="0" applyFont="1" applyBorder="1" applyAlignment="1" applyProtection="1">
      <alignment vertical="center"/>
    </xf>
    <xf numFmtId="3" fontId="8" fillId="10" borderId="50" xfId="0" applyNumberFormat="1" applyFont="1" applyFill="1" applyBorder="1" applyAlignment="1" applyProtection="1">
      <alignment horizontal="center" vertical="center"/>
    </xf>
    <xf numFmtId="3" fontId="33" fillId="9" borderId="21" xfId="0" applyNumberFormat="1" applyFont="1" applyFill="1" applyBorder="1" applyAlignment="1" applyProtection="1">
      <alignment horizontal="center" vertical="center"/>
    </xf>
    <xf numFmtId="3" fontId="33" fillId="9" borderId="26" xfId="0" applyNumberFormat="1" applyFont="1" applyFill="1" applyBorder="1" applyAlignment="1" applyProtection="1">
      <alignment horizontal="center" vertical="center"/>
    </xf>
    <xf numFmtId="0" fontId="10" fillId="0" borderId="0" xfId="0" applyFont="1" applyAlignment="1">
      <alignment horizontal="center" vertical="center"/>
    </xf>
    <xf numFmtId="0" fontId="10" fillId="0" borderId="0" xfId="0" applyFont="1" applyAlignment="1">
      <alignment horizontal="center" vertical="center" wrapText="1"/>
    </xf>
    <xf numFmtId="0" fontId="50" fillId="0" borderId="12" xfId="0" applyFont="1" applyBorder="1" applyAlignment="1">
      <alignment horizontal="center" vertical="center"/>
    </xf>
    <xf numFmtId="0" fontId="10" fillId="0" borderId="12" xfId="0" applyFont="1" applyBorder="1" applyAlignment="1">
      <alignment horizontal="center" vertical="center"/>
    </xf>
    <xf numFmtId="0" fontId="10" fillId="0" borderId="12" xfId="0" applyFont="1" applyBorder="1" applyAlignment="1">
      <alignment horizontal="center" vertical="center" wrapText="1"/>
    </xf>
    <xf numFmtId="0" fontId="8" fillId="0" borderId="0" xfId="0" applyFont="1" applyBorder="1" applyProtection="1">
      <protection hidden="1"/>
    </xf>
    <xf numFmtId="0" fontId="8" fillId="0" borderId="0" xfId="0" applyFont="1" applyAlignment="1" applyProtection="1">
      <alignment wrapText="1"/>
      <protection hidden="1"/>
    </xf>
    <xf numFmtId="0" fontId="8" fillId="0" borderId="0" xfId="0" applyFont="1" applyAlignment="1" applyProtection="1">
      <alignment vertical="top" wrapText="1"/>
      <protection hidden="1"/>
    </xf>
    <xf numFmtId="0" fontId="9" fillId="0" borderId="0" xfId="0" applyFont="1" applyAlignment="1" applyProtection="1">
      <alignment horizontal="center" vertical="center"/>
      <protection hidden="1"/>
    </xf>
    <xf numFmtId="0" fontId="8" fillId="0" borderId="0" xfId="0" applyFont="1" applyProtection="1">
      <protection hidden="1"/>
    </xf>
    <xf numFmtId="0" fontId="14" fillId="0" borderId="0" xfId="0" applyFont="1" applyFill="1" applyProtection="1">
      <protection hidden="1"/>
    </xf>
    <xf numFmtId="0" fontId="14" fillId="0" borderId="0" xfId="0" applyFont="1" applyFill="1" applyBorder="1" applyProtection="1">
      <protection hidden="1"/>
    </xf>
    <xf numFmtId="0" fontId="8" fillId="2" borderId="1" xfId="0" applyFont="1" applyFill="1" applyBorder="1" applyProtection="1">
      <protection hidden="1"/>
    </xf>
    <xf numFmtId="0" fontId="9" fillId="2" borderId="2" xfId="0" applyFont="1" applyFill="1" applyBorder="1" applyAlignment="1" applyProtection="1">
      <alignment horizontal="center" vertical="center"/>
      <protection hidden="1"/>
    </xf>
    <xf numFmtId="0" fontId="8" fillId="2" borderId="3" xfId="0" applyFont="1" applyFill="1" applyBorder="1" applyProtection="1">
      <protection hidden="1"/>
    </xf>
    <xf numFmtId="0" fontId="8" fillId="2" borderId="4" xfId="0" applyFont="1" applyFill="1" applyBorder="1" applyProtection="1">
      <protection hidden="1"/>
    </xf>
    <xf numFmtId="0" fontId="9" fillId="2" borderId="0" xfId="0" applyFont="1" applyFill="1" applyBorder="1" applyAlignment="1" applyProtection="1">
      <alignment horizontal="center" vertical="center"/>
      <protection hidden="1"/>
    </xf>
    <xf numFmtId="0" fontId="8" fillId="2" borderId="5" xfId="0" applyFont="1" applyFill="1" applyBorder="1" applyProtection="1">
      <protection hidden="1"/>
    </xf>
    <xf numFmtId="0" fontId="14" fillId="0" borderId="0" xfId="0" applyFont="1" applyFill="1" applyBorder="1" applyAlignment="1" applyProtection="1">
      <alignment horizontal="left" vertical="center"/>
      <protection hidden="1"/>
    </xf>
    <xf numFmtId="0" fontId="14" fillId="0" borderId="0" xfId="0" applyFont="1" applyFill="1" applyBorder="1" applyAlignment="1" applyProtection="1">
      <alignment horizontal="center" vertical="center"/>
      <protection hidden="1"/>
    </xf>
    <xf numFmtId="0" fontId="45" fillId="2" borderId="0" xfId="0" applyFont="1" applyFill="1" applyBorder="1" applyAlignment="1" applyProtection="1">
      <alignment horizontal="left" vertical="center"/>
      <protection hidden="1"/>
    </xf>
    <xf numFmtId="0" fontId="27" fillId="2" borderId="0" xfId="0" applyFont="1" applyFill="1" applyBorder="1" applyAlignment="1" applyProtection="1">
      <alignment horizontal="center" vertical="center" wrapText="1"/>
      <protection hidden="1"/>
    </xf>
    <xf numFmtId="0" fontId="9" fillId="2" borderId="2" xfId="0" applyFont="1" applyFill="1" applyBorder="1" applyAlignment="1" applyProtection="1">
      <alignment horizontal="center" vertical="center" wrapText="1"/>
      <protection hidden="1"/>
    </xf>
    <xf numFmtId="0" fontId="14" fillId="0" borderId="40" xfId="0" applyFont="1" applyFill="1" applyBorder="1" applyProtection="1">
      <protection hidden="1"/>
    </xf>
    <xf numFmtId="0" fontId="14" fillId="0" borderId="41" xfId="0" applyFont="1" applyFill="1" applyBorder="1" applyProtection="1">
      <protection hidden="1"/>
    </xf>
    <xf numFmtId="0" fontId="14" fillId="0" borderId="41" xfId="0" applyFont="1" applyFill="1" applyBorder="1" applyAlignment="1" applyProtection="1">
      <alignment horizontal="left" wrapText="1"/>
      <protection hidden="1"/>
    </xf>
    <xf numFmtId="0" fontId="14" fillId="0" borderId="41" xfId="0" applyFont="1" applyFill="1" applyBorder="1" applyAlignment="1" applyProtection="1">
      <alignment wrapText="1"/>
      <protection hidden="1"/>
    </xf>
    <xf numFmtId="0" fontId="14" fillId="0" borderId="42" xfId="0" applyFont="1" applyFill="1" applyBorder="1" applyAlignment="1" applyProtection="1">
      <alignment wrapText="1"/>
      <protection hidden="1"/>
    </xf>
    <xf numFmtId="0" fontId="9" fillId="2" borderId="0" xfId="0" applyFont="1" applyFill="1" applyBorder="1" applyAlignment="1" applyProtection="1">
      <alignment wrapText="1"/>
      <protection hidden="1"/>
    </xf>
    <xf numFmtId="0" fontId="9" fillId="2" borderId="0" xfId="0" applyFont="1" applyFill="1" applyBorder="1" applyAlignment="1" applyProtection="1">
      <alignment vertical="top" wrapText="1"/>
      <protection hidden="1"/>
    </xf>
    <xf numFmtId="0" fontId="14" fillId="0" borderId="19" xfId="0" applyFont="1" applyFill="1" applyBorder="1" applyAlignment="1" applyProtection="1">
      <alignment horizontal="center" vertical="top"/>
      <protection hidden="1"/>
    </xf>
    <xf numFmtId="0" fontId="14" fillId="0" borderId="20" xfId="0" applyFont="1" applyFill="1" applyBorder="1" applyAlignment="1" applyProtection="1">
      <alignment horizontal="center" vertical="center"/>
      <protection hidden="1"/>
    </xf>
    <xf numFmtId="164" fontId="14" fillId="0" borderId="20" xfId="0" applyNumberFormat="1" applyFont="1" applyFill="1" applyBorder="1" applyAlignment="1" applyProtection="1">
      <alignment horizontal="center" vertical="center"/>
      <protection hidden="1"/>
    </xf>
    <xf numFmtId="2" fontId="14" fillId="0" borderId="20" xfId="0" applyNumberFormat="1" applyFont="1" applyFill="1" applyBorder="1" applyAlignment="1" applyProtection="1">
      <alignment horizontal="center" vertical="center"/>
      <protection hidden="1"/>
    </xf>
    <xf numFmtId="0" fontId="14" fillId="0" borderId="21" xfId="0" applyFont="1" applyFill="1" applyBorder="1" applyAlignment="1" applyProtection="1">
      <alignment horizontal="center" vertical="center"/>
      <protection hidden="1"/>
    </xf>
    <xf numFmtId="0" fontId="8" fillId="2" borderId="4" xfId="0" applyFont="1" applyFill="1" applyBorder="1" applyAlignment="1" applyProtection="1">
      <alignment horizontal="left" vertical="top"/>
      <protection hidden="1"/>
    </xf>
    <xf numFmtId="0" fontId="8" fillId="2" borderId="12" xfId="0" applyFont="1" applyFill="1" applyBorder="1" applyAlignment="1" applyProtection="1">
      <alignment horizontal="left" vertical="top" wrapText="1"/>
      <protection hidden="1"/>
    </xf>
    <xf numFmtId="0" fontId="8" fillId="2" borderId="5" xfId="0" applyFont="1" applyFill="1" applyBorder="1" applyAlignment="1" applyProtection="1">
      <alignment horizontal="left" vertical="top"/>
      <protection hidden="1"/>
    </xf>
    <xf numFmtId="0" fontId="14" fillId="0" borderId="0" xfId="0" applyFont="1" applyFill="1" applyAlignment="1" applyProtection="1">
      <alignment horizontal="left" vertical="top"/>
      <protection hidden="1"/>
    </xf>
    <xf numFmtId="0" fontId="14" fillId="0" borderId="22" xfId="0" applyFont="1" applyFill="1" applyBorder="1" applyAlignment="1" applyProtection="1">
      <alignment horizontal="left" vertical="top"/>
      <protection hidden="1"/>
    </xf>
    <xf numFmtId="2" fontId="14" fillId="0" borderId="12" xfId="0" applyNumberFormat="1" applyFont="1" applyFill="1" applyBorder="1" applyAlignment="1" applyProtection="1">
      <alignment horizontal="center" vertical="center"/>
      <protection hidden="1"/>
    </xf>
    <xf numFmtId="0" fontId="14" fillId="3" borderId="12" xfId="0" applyFont="1" applyFill="1" applyBorder="1" applyAlignment="1" applyProtection="1">
      <alignment horizontal="center" vertical="center"/>
      <protection hidden="1"/>
    </xf>
    <xf numFmtId="164" fontId="14" fillId="0" borderId="12" xfId="0" applyNumberFormat="1" applyFont="1" applyFill="1" applyBorder="1" applyAlignment="1" applyProtection="1">
      <alignment horizontal="center" vertical="center"/>
      <protection hidden="1"/>
    </xf>
    <xf numFmtId="0" fontId="33" fillId="0" borderId="12" xfId="0" applyFont="1" applyFill="1" applyBorder="1" applyAlignment="1" applyProtection="1">
      <alignment horizontal="center" vertical="center"/>
      <protection hidden="1"/>
    </xf>
    <xf numFmtId="0" fontId="14" fillId="0" borderId="12" xfId="0" applyFont="1" applyFill="1" applyBorder="1" applyAlignment="1" applyProtection="1">
      <alignment horizontal="center" vertical="center"/>
      <protection hidden="1"/>
    </xf>
    <xf numFmtId="0" fontId="14" fillId="0" borderId="23" xfId="0" applyFont="1" applyFill="1" applyBorder="1" applyAlignment="1" applyProtection="1">
      <alignment horizontal="center" vertical="center"/>
      <protection hidden="1"/>
    </xf>
    <xf numFmtId="0" fontId="14" fillId="0" borderId="0" xfId="0" applyFont="1" applyFill="1" applyBorder="1" applyAlignment="1" applyProtection="1">
      <alignment horizontal="left" vertical="top"/>
      <protection hidden="1"/>
    </xf>
    <xf numFmtId="0" fontId="8" fillId="0" borderId="0" xfId="0" applyFont="1" applyAlignment="1" applyProtection="1">
      <alignment horizontal="left" vertical="top"/>
      <protection hidden="1"/>
    </xf>
    <xf numFmtId="0" fontId="14" fillId="0" borderId="24" xfId="0" applyFont="1" applyFill="1" applyBorder="1" applyAlignment="1" applyProtection="1">
      <alignment horizontal="left" vertical="center"/>
      <protection hidden="1"/>
    </xf>
    <xf numFmtId="0" fontId="14" fillId="0" borderId="25"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26" xfId="0" applyFont="1" applyFill="1" applyBorder="1" applyAlignment="1" applyProtection="1">
      <alignment horizontal="center" vertical="center"/>
      <protection hidden="1"/>
    </xf>
    <xf numFmtId="2" fontId="14" fillId="0" borderId="0" xfId="0" applyNumberFormat="1" applyFont="1" applyFill="1" applyBorder="1" applyAlignment="1" applyProtection="1">
      <alignment horizontal="center" vertical="center"/>
      <protection hidden="1"/>
    </xf>
    <xf numFmtId="0" fontId="14"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4" fillId="0" borderId="22" xfId="0" applyFont="1" applyFill="1" applyBorder="1" applyAlignment="1" applyProtection="1">
      <alignment horizontal="left" vertical="center"/>
      <protection hidden="1"/>
    </xf>
    <xf numFmtId="2" fontId="14" fillId="0" borderId="23" xfId="0" applyNumberFormat="1" applyFont="1" applyFill="1" applyBorder="1" applyAlignment="1" applyProtection="1">
      <alignment horizontal="center" vertical="center"/>
      <protection hidden="1"/>
    </xf>
    <xf numFmtId="0" fontId="19" fillId="0" borderId="59" xfId="0" applyFont="1" applyFill="1" applyBorder="1" applyAlignment="1" applyProtection="1">
      <alignment horizontal="left" vertical="center"/>
      <protection hidden="1"/>
    </xf>
    <xf numFmtId="0" fontId="14" fillId="0" borderId="55" xfId="0" applyFont="1" applyFill="1" applyBorder="1" applyAlignment="1" applyProtection="1">
      <alignment horizontal="center" vertical="center"/>
      <protection hidden="1"/>
    </xf>
    <xf numFmtId="0" fontId="8" fillId="2" borderId="0" xfId="0" applyFont="1" applyFill="1" applyBorder="1" applyAlignment="1" applyProtection="1">
      <alignment horizontal="left" vertical="top" wrapText="1"/>
      <protection hidden="1"/>
    </xf>
    <xf numFmtId="0" fontId="8" fillId="0" borderId="0" xfId="0" applyFont="1" applyBorder="1" applyAlignment="1" applyProtection="1">
      <alignment horizontal="left" vertical="top"/>
      <protection hidden="1"/>
    </xf>
    <xf numFmtId="0" fontId="14" fillId="0" borderId="0" xfId="0" applyFont="1" applyFill="1" applyBorder="1" applyAlignment="1" applyProtection="1">
      <alignment horizontal="left" wrapText="1"/>
      <protection hidden="1"/>
    </xf>
    <xf numFmtId="0" fontId="14" fillId="0" borderId="0" xfId="0" applyFont="1" applyFill="1" applyBorder="1" applyAlignment="1" applyProtection="1">
      <alignment wrapText="1"/>
      <protection hidden="1"/>
    </xf>
    <xf numFmtId="0" fontId="9" fillId="2" borderId="0" xfId="0" applyFont="1" applyFill="1" applyBorder="1" applyAlignment="1" applyProtection="1">
      <alignment horizontal="left" vertical="top" wrapText="1"/>
      <protection hidden="1"/>
    </xf>
    <xf numFmtId="0" fontId="8" fillId="2" borderId="0" xfId="0" applyFont="1" applyFill="1" applyBorder="1" applyAlignment="1" applyProtection="1">
      <alignment horizontal="left" vertical="top"/>
      <protection hidden="1"/>
    </xf>
    <xf numFmtId="0" fontId="8" fillId="2" borderId="6" xfId="0" applyFont="1" applyFill="1" applyBorder="1" applyProtection="1">
      <protection hidden="1"/>
    </xf>
    <xf numFmtId="0" fontId="8" fillId="2" borderId="7" xfId="0" applyFont="1" applyFill="1" applyBorder="1" applyAlignment="1" applyProtection="1">
      <alignment wrapText="1"/>
      <protection hidden="1"/>
    </xf>
    <xf numFmtId="0" fontId="9" fillId="2" borderId="7" xfId="0" applyFont="1" applyFill="1" applyBorder="1" applyAlignment="1" applyProtection="1">
      <alignment horizontal="center" vertical="center"/>
      <protection hidden="1"/>
    </xf>
    <xf numFmtId="0" fontId="8" fillId="2" borderId="8" xfId="0" applyFont="1" applyFill="1" applyBorder="1" applyProtection="1">
      <protection hidden="1"/>
    </xf>
    <xf numFmtId="0" fontId="14" fillId="0" borderId="27" xfId="0" applyFont="1" applyFill="1" applyBorder="1" applyAlignment="1" applyProtection="1">
      <alignment horizontal="left" vertical="center"/>
      <protection hidden="1"/>
    </xf>
    <xf numFmtId="164" fontId="14" fillId="0" borderId="15" xfId="0" applyNumberFormat="1" applyFont="1" applyFill="1" applyBorder="1" applyAlignment="1" applyProtection="1">
      <alignment horizontal="center" vertical="center"/>
      <protection hidden="1"/>
    </xf>
    <xf numFmtId="2" fontId="14" fillId="0" borderId="17" xfId="0" applyNumberFormat="1" applyFont="1" applyFill="1" applyBorder="1" applyAlignment="1" applyProtection="1">
      <alignment horizontal="center" vertical="center"/>
      <protection hidden="1"/>
    </xf>
    <xf numFmtId="2" fontId="14" fillId="0" borderId="25" xfId="0" applyNumberFormat="1" applyFont="1" applyFill="1" applyBorder="1" applyAlignment="1" applyProtection="1">
      <alignment horizontal="center" vertical="center"/>
      <protection hidden="1"/>
    </xf>
    <xf numFmtId="0" fontId="8" fillId="2" borderId="6" xfId="0" applyFont="1" applyFill="1" applyBorder="1" applyAlignment="1" applyProtection="1">
      <alignment horizontal="left" vertical="top"/>
      <protection hidden="1"/>
    </xf>
    <xf numFmtId="0" fontId="8" fillId="2" borderId="7" xfId="0" applyFont="1" applyFill="1" applyBorder="1" applyAlignment="1" applyProtection="1">
      <alignment horizontal="left" vertical="center" wrapText="1"/>
      <protection hidden="1"/>
    </xf>
    <xf numFmtId="0" fontId="8" fillId="2" borderId="7" xfId="0" applyFont="1" applyFill="1" applyBorder="1" applyAlignment="1" applyProtection="1">
      <alignment horizontal="left" vertical="top" wrapText="1"/>
      <protection hidden="1"/>
    </xf>
    <xf numFmtId="0" fontId="9" fillId="2" borderId="7" xfId="0" applyFont="1" applyFill="1" applyBorder="1" applyAlignment="1" applyProtection="1">
      <alignment horizontal="center" vertical="top"/>
      <protection locked="0" hidden="1"/>
    </xf>
    <xf numFmtId="0" fontId="8" fillId="2" borderId="8" xfId="0" applyFont="1" applyFill="1" applyBorder="1" applyAlignment="1" applyProtection="1">
      <alignment horizontal="left" vertical="top"/>
      <protection hidden="1"/>
    </xf>
    <xf numFmtId="0" fontId="8" fillId="2" borderId="2" xfId="0" applyFont="1" applyFill="1" applyBorder="1" applyProtection="1">
      <protection hidden="1"/>
    </xf>
    <xf numFmtId="0" fontId="8" fillId="2" borderId="2" xfId="0" applyFont="1" applyFill="1" applyBorder="1" applyAlignment="1">
      <alignment horizontal="center" vertical="center"/>
    </xf>
    <xf numFmtId="0" fontId="8" fillId="2" borderId="3" xfId="0" applyFont="1" applyFill="1" applyBorder="1" applyAlignment="1">
      <alignment horizontal="center" vertical="center"/>
    </xf>
    <xf numFmtId="0" fontId="9" fillId="2" borderId="0" xfId="0" applyFont="1" applyFill="1" applyBorder="1"/>
    <xf numFmtId="0" fontId="8" fillId="2" borderId="0" xfId="0" applyFont="1" applyFill="1" applyBorder="1" applyAlignment="1">
      <alignment horizontal="center" vertical="center"/>
    </xf>
    <xf numFmtId="0" fontId="8" fillId="2" borderId="5" xfId="0" applyFont="1" applyFill="1" applyBorder="1" applyAlignment="1">
      <alignment horizontal="center" vertical="center"/>
    </xf>
    <xf numFmtId="0" fontId="8" fillId="2" borderId="0" xfId="0" applyFont="1" applyFill="1" applyBorder="1" applyAlignment="1">
      <alignment horizontal="right" vertical="center"/>
    </xf>
    <xf numFmtId="0" fontId="8" fillId="2" borderId="7" xfId="0" applyFont="1" applyFill="1" applyBorder="1" applyAlignment="1">
      <alignment horizontal="center" vertical="center"/>
    </xf>
    <xf numFmtId="0" fontId="8" fillId="2" borderId="8" xfId="0" applyFont="1" applyFill="1" applyBorder="1" applyAlignment="1">
      <alignment horizontal="center" vertical="center"/>
    </xf>
    <xf numFmtId="0" fontId="8" fillId="21" borderId="1" xfId="0" applyFont="1" applyFill="1" applyBorder="1"/>
    <xf numFmtId="0" fontId="8" fillId="21" borderId="2" xfId="0" applyFont="1" applyFill="1" applyBorder="1"/>
    <xf numFmtId="0" fontId="8" fillId="21" borderId="2" xfId="0" applyFont="1" applyFill="1" applyBorder="1" applyAlignment="1">
      <alignment horizontal="center" vertical="center"/>
    </xf>
    <xf numFmtId="0" fontId="8" fillId="21" borderId="3" xfId="0" applyFont="1" applyFill="1" applyBorder="1"/>
    <xf numFmtId="0" fontId="8" fillId="21" borderId="4" xfId="0" applyFont="1" applyFill="1" applyBorder="1"/>
    <xf numFmtId="0" fontId="8" fillId="21" borderId="0" xfId="0" applyFont="1" applyFill="1" applyBorder="1"/>
    <xf numFmtId="0" fontId="27" fillId="21" borderId="0" xfId="0" applyFont="1" applyFill="1" applyBorder="1"/>
    <xf numFmtId="0" fontId="8" fillId="21" borderId="0" xfId="0" applyFont="1" applyFill="1" applyBorder="1" applyAlignment="1">
      <alignment horizontal="center" vertical="center"/>
    </xf>
    <xf numFmtId="0" fontId="8" fillId="21" borderId="5" xfId="0" applyFont="1" applyFill="1" applyBorder="1"/>
    <xf numFmtId="0" fontId="9" fillId="21" borderId="0" xfId="0" applyFont="1" applyFill="1" applyBorder="1"/>
    <xf numFmtId="0" fontId="33" fillId="21" borderId="0" xfId="0" applyFont="1" applyFill="1" applyBorder="1" applyAlignment="1" applyProtection="1">
      <alignment horizontal="center" vertical="center"/>
    </xf>
    <xf numFmtId="0" fontId="14" fillId="21" borderId="0" xfId="0" applyFont="1" applyFill="1" applyBorder="1" applyAlignment="1" applyProtection="1">
      <alignment horizontal="left" vertical="center"/>
    </xf>
    <xf numFmtId="0" fontId="14" fillId="21" borderId="0" xfId="0" applyFont="1" applyFill="1" applyBorder="1" applyAlignment="1" applyProtection="1">
      <alignment horizontal="center" vertical="center"/>
    </xf>
    <xf numFmtId="0" fontId="8" fillId="21" borderId="0" xfId="0" applyFont="1" applyFill="1" applyBorder="1" applyAlignment="1" applyProtection="1">
      <alignment horizontal="left" vertical="center"/>
    </xf>
    <xf numFmtId="1" fontId="8" fillId="21" borderId="0" xfId="0" applyNumberFormat="1" applyFont="1" applyFill="1" applyBorder="1" applyAlignment="1">
      <alignment horizontal="center" vertical="center"/>
    </xf>
    <xf numFmtId="0" fontId="8" fillId="21" borderId="7" xfId="0" applyFont="1" applyFill="1" applyBorder="1"/>
    <xf numFmtId="0" fontId="8" fillId="21" borderId="8" xfId="0" applyFont="1" applyFill="1" applyBorder="1"/>
    <xf numFmtId="0" fontId="8" fillId="21" borderId="6" xfId="0" applyFont="1" applyFill="1" applyBorder="1"/>
    <xf numFmtId="0" fontId="8" fillId="21" borderId="7" xfId="0" applyFont="1" applyFill="1" applyBorder="1" applyAlignment="1">
      <alignment horizontal="center" vertical="center"/>
    </xf>
    <xf numFmtId="0" fontId="8" fillId="16" borderId="0" xfId="0" applyFont="1" applyFill="1" applyBorder="1" applyAlignment="1" applyProtection="1">
      <alignment horizontal="center" vertical="center"/>
    </xf>
    <xf numFmtId="0" fontId="8" fillId="16" borderId="0" xfId="0" applyFont="1" applyFill="1" applyBorder="1" applyAlignment="1">
      <alignment horizontal="center" vertical="center"/>
    </xf>
    <xf numFmtId="0" fontId="8" fillId="16" borderId="1" xfId="0" applyFont="1" applyFill="1" applyBorder="1"/>
    <xf numFmtId="0" fontId="8" fillId="16" borderId="2" xfId="0" applyFont="1" applyFill="1" applyBorder="1"/>
    <xf numFmtId="0" fontId="8" fillId="16" borderId="2" xfId="0" applyFont="1" applyFill="1" applyBorder="1" applyAlignment="1" applyProtection="1">
      <alignment horizontal="center" vertical="center"/>
    </xf>
    <xf numFmtId="0" fontId="8" fillId="16" borderId="2" xfId="0" applyFont="1" applyFill="1" applyBorder="1" applyAlignment="1">
      <alignment horizontal="center" vertical="center"/>
    </xf>
    <xf numFmtId="0" fontId="8" fillId="16" borderId="3" xfId="0" applyFont="1" applyFill="1" applyBorder="1"/>
    <xf numFmtId="0" fontId="8" fillId="16" borderId="4" xfId="0" applyFont="1" applyFill="1" applyBorder="1"/>
    <xf numFmtId="0" fontId="8" fillId="16" borderId="0" xfId="0" applyFont="1" applyFill="1" applyBorder="1"/>
    <xf numFmtId="0" fontId="9" fillId="16" borderId="0" xfId="0" applyFont="1" applyFill="1" applyBorder="1"/>
    <xf numFmtId="0" fontId="8" fillId="16" borderId="5" xfId="0" applyFont="1" applyFill="1" applyBorder="1"/>
    <xf numFmtId="0" fontId="34" fillId="16" borderId="0" xfId="1" applyFont="1" applyFill="1" applyBorder="1"/>
    <xf numFmtId="0" fontId="8" fillId="16" borderId="6" xfId="0" applyFont="1" applyFill="1" applyBorder="1"/>
    <xf numFmtId="0" fontId="8" fillId="16" borderId="7" xfId="0" applyFont="1" applyFill="1" applyBorder="1"/>
    <xf numFmtId="0" fontId="8" fillId="16" borderId="7" xfId="0" applyFont="1" applyFill="1" applyBorder="1" applyAlignment="1">
      <alignment horizontal="center" vertical="center"/>
    </xf>
    <xf numFmtId="0" fontId="8" fillId="16" borderId="8" xfId="0" applyFont="1" applyFill="1" applyBorder="1"/>
    <xf numFmtId="0" fontId="24" fillId="16" borderId="0" xfId="1" applyFill="1" applyBorder="1" applyProtection="1">
      <protection locked="0"/>
    </xf>
    <xf numFmtId="0" fontId="8" fillId="2" borderId="0" xfId="0" applyFont="1" applyFill="1" applyBorder="1" applyAlignment="1">
      <alignment horizontal="center"/>
    </xf>
    <xf numFmtId="0" fontId="8" fillId="2" borderId="0" xfId="0" applyFont="1" applyFill="1" applyBorder="1" applyAlignment="1">
      <alignment horizontal="left" vertical="center"/>
    </xf>
    <xf numFmtId="0" fontId="8" fillId="2" borderId="0" xfId="0" applyFont="1" applyFill="1" applyBorder="1" applyAlignment="1">
      <alignment vertical="center"/>
    </xf>
    <xf numFmtId="0" fontId="3" fillId="21" borderId="0" xfId="0" applyFont="1" applyFill="1" applyBorder="1"/>
    <xf numFmtId="0" fontId="3" fillId="21" borderId="0" xfId="0" applyFont="1" applyFill="1" applyBorder="1" applyAlignment="1">
      <alignment horizontal="left" vertical="center"/>
    </xf>
    <xf numFmtId="0" fontId="8" fillId="0" borderId="0" xfId="0" applyFont="1" applyFill="1" applyBorder="1" applyAlignment="1">
      <alignment horizontal="center" vertical="center"/>
    </xf>
    <xf numFmtId="0" fontId="8" fillId="0" borderId="0" xfId="0" applyFont="1" applyFill="1" applyBorder="1" applyAlignment="1" applyProtection="1">
      <alignment horizontal="center" vertical="center" wrapText="1"/>
      <protection hidden="1"/>
    </xf>
    <xf numFmtId="0" fontId="8" fillId="4" borderId="0" xfId="0" applyFont="1" applyFill="1" applyBorder="1"/>
    <xf numFmtId="0" fontId="8" fillId="10" borderId="12" xfId="0" applyFont="1" applyFill="1" applyBorder="1" applyAlignment="1">
      <alignment horizontal="center" vertical="center"/>
    </xf>
    <xf numFmtId="2" fontId="9" fillId="10" borderId="12" xfId="0" applyNumberFormat="1" applyFont="1" applyFill="1" applyBorder="1" applyAlignment="1">
      <alignment horizontal="center" vertical="center"/>
    </xf>
    <xf numFmtId="3" fontId="9" fillId="10" borderId="12" xfId="0" applyNumberFormat="1" applyFont="1" applyFill="1" applyBorder="1" applyAlignment="1">
      <alignment horizontal="center" vertical="center"/>
    </xf>
    <xf numFmtId="0" fontId="8" fillId="4" borderId="0" xfId="0" applyFont="1" applyFill="1" applyBorder="1" applyAlignment="1">
      <alignment horizontal="center" vertical="center"/>
    </xf>
    <xf numFmtId="0" fontId="8" fillId="4" borderId="0" xfId="0" applyFont="1" applyFill="1" applyBorder="1" applyAlignment="1" applyProtection="1">
      <alignment horizontal="center" vertical="center"/>
    </xf>
    <xf numFmtId="0" fontId="8" fillId="4" borderId="0" xfId="0" applyFont="1" applyFill="1" applyBorder="1" applyAlignment="1">
      <alignment horizontal="left" vertical="center"/>
    </xf>
    <xf numFmtId="165" fontId="8" fillId="10" borderId="12" xfId="0" applyNumberFormat="1" applyFont="1" applyFill="1" applyBorder="1" applyAlignment="1">
      <alignment horizontal="center" vertical="center"/>
    </xf>
    <xf numFmtId="0" fontId="8" fillId="4" borderId="1" xfId="0" applyFont="1" applyFill="1" applyBorder="1"/>
    <xf numFmtId="0" fontId="8" fillId="4" borderId="2" xfId="0" applyFont="1" applyFill="1" applyBorder="1"/>
    <xf numFmtId="0" fontId="8" fillId="4" borderId="2" xfId="0" applyFont="1" applyFill="1" applyBorder="1" applyAlignment="1">
      <alignment horizontal="center" vertical="center"/>
    </xf>
    <xf numFmtId="0" fontId="8" fillId="4" borderId="3" xfId="0" applyFont="1" applyFill="1" applyBorder="1"/>
    <xf numFmtId="0" fontId="8" fillId="4" borderId="4" xfId="0" applyFont="1" applyFill="1" applyBorder="1"/>
    <xf numFmtId="0" fontId="8" fillId="4" borderId="5" xfId="0" applyFont="1" applyFill="1" applyBorder="1"/>
    <xf numFmtId="0" fontId="8" fillId="4" borderId="6" xfId="0" applyFont="1" applyFill="1" applyBorder="1"/>
    <xf numFmtId="0" fontId="8" fillId="4" borderId="7" xfId="0" applyFont="1" applyFill="1" applyBorder="1"/>
    <xf numFmtId="0" fontId="8" fillId="4" borderId="7" xfId="0" applyFont="1" applyFill="1" applyBorder="1" applyAlignment="1">
      <alignment horizontal="center" vertical="center"/>
    </xf>
    <xf numFmtId="0" fontId="8" fillId="4" borderId="7" xfId="0" applyFont="1" applyFill="1" applyBorder="1" applyAlignment="1" applyProtection="1">
      <alignment horizontal="center" vertical="center"/>
    </xf>
    <xf numFmtId="0" fontId="8" fillId="4" borderId="8" xfId="0" applyFont="1" applyFill="1" applyBorder="1"/>
    <xf numFmtId="0" fontId="9" fillId="10" borderId="20" xfId="0" applyFont="1" applyFill="1" applyBorder="1" applyAlignment="1">
      <alignment horizontal="center" vertical="center"/>
    </xf>
    <xf numFmtId="0" fontId="8" fillId="2" borderId="4" xfId="0" applyFont="1" applyFill="1" applyBorder="1" applyAlignment="1">
      <alignment horizontal="center"/>
    </xf>
    <xf numFmtId="0" fontId="8" fillId="2" borderId="4" xfId="0" applyFont="1" applyFill="1" applyBorder="1" applyAlignment="1">
      <alignment horizontal="right" vertical="center"/>
    </xf>
    <xf numFmtId="0" fontId="8" fillId="2" borderId="5" xfId="0" applyFont="1" applyFill="1" applyBorder="1" applyAlignment="1">
      <alignment horizontal="left" vertical="center"/>
    </xf>
    <xf numFmtId="0" fontId="8" fillId="2" borderId="1" xfId="0" applyFont="1" applyFill="1" applyBorder="1" applyAlignment="1">
      <alignment horizontal="right" vertical="center"/>
    </xf>
    <xf numFmtId="0" fontId="8" fillId="2" borderId="3" xfId="0" applyFont="1" applyFill="1" applyBorder="1" applyAlignment="1">
      <alignment horizontal="left" vertical="center"/>
    </xf>
    <xf numFmtId="0" fontId="27" fillId="4" borderId="0" xfId="0" applyFont="1" applyFill="1" applyBorder="1"/>
    <xf numFmtId="0" fontId="14" fillId="4" borderId="0" xfId="0" applyFont="1" applyFill="1" applyBorder="1" applyAlignment="1" applyProtection="1">
      <alignment horizontal="center" vertical="center"/>
    </xf>
    <xf numFmtId="0" fontId="14" fillId="4" borderId="0" xfId="0" applyFont="1" applyFill="1" applyBorder="1" applyAlignment="1">
      <alignment horizontal="center" vertical="center"/>
    </xf>
    <xf numFmtId="0" fontId="14" fillId="4" borderId="0" xfId="0" applyFont="1" applyFill="1" applyBorder="1"/>
    <xf numFmtId="0" fontId="14" fillId="4" borderId="5" xfId="0" applyFont="1" applyFill="1" applyBorder="1"/>
    <xf numFmtId="0" fontId="9" fillId="4" borderId="0" xfId="0" applyFont="1" applyFill="1" applyBorder="1" applyAlignment="1">
      <alignment horizontal="left" vertical="center"/>
    </xf>
    <xf numFmtId="0" fontId="74" fillId="4" borderId="0" xfId="0" applyFont="1" applyFill="1" applyBorder="1" applyAlignment="1" applyProtection="1">
      <alignment horizontal="left" vertical="center"/>
    </xf>
    <xf numFmtId="0" fontId="74" fillId="4" borderId="0" xfId="0" applyFont="1" applyFill="1" applyBorder="1" applyAlignment="1">
      <alignment horizontal="center" vertical="center"/>
    </xf>
    <xf numFmtId="0" fontId="74" fillId="4" borderId="0" xfId="0" applyFont="1" applyFill="1" applyBorder="1"/>
    <xf numFmtId="0" fontId="74" fillId="4" borderId="5" xfId="0" applyFont="1" applyFill="1" applyBorder="1"/>
    <xf numFmtId="0" fontId="74" fillId="4" borderId="0" xfId="0" applyFont="1" applyFill="1" applyBorder="1" applyAlignment="1">
      <alignment horizontal="left" vertical="center"/>
    </xf>
    <xf numFmtId="0" fontId="74" fillId="4" borderId="5" xfId="0" applyFont="1" applyFill="1" applyBorder="1" applyAlignment="1">
      <alignment horizontal="center" vertical="center"/>
    </xf>
    <xf numFmtId="0" fontId="74" fillId="4" borderId="0" xfId="0" applyFont="1" applyFill="1" applyBorder="1" applyAlignment="1" applyProtection="1">
      <alignment horizontal="center" vertical="center"/>
    </xf>
    <xf numFmtId="16" fontId="8" fillId="0" borderId="0" xfId="0" quotePrefix="1" applyNumberFormat="1" applyFont="1"/>
    <xf numFmtId="0" fontId="8" fillId="0" borderId="0" xfId="0" applyFont="1" applyFill="1" applyBorder="1" applyAlignment="1">
      <alignment horizontal="center"/>
    </xf>
    <xf numFmtId="0" fontId="8" fillId="0" borderId="0" xfId="0" applyFont="1" applyFill="1" applyBorder="1" applyAlignment="1" applyProtection="1">
      <alignment horizontal="center" vertical="center"/>
      <protection locked="0"/>
    </xf>
    <xf numFmtId="0" fontId="8" fillId="2" borderId="0" xfId="0" applyFont="1" applyFill="1" applyBorder="1" applyProtection="1">
      <protection hidden="1"/>
    </xf>
    <xf numFmtId="0" fontId="55" fillId="2" borderId="0" xfId="0" applyFont="1" applyFill="1" applyBorder="1" applyAlignment="1" applyProtection="1">
      <alignment vertical="center"/>
      <protection hidden="1"/>
    </xf>
    <xf numFmtId="0" fontId="33" fillId="5" borderId="47" xfId="0" applyFont="1" applyFill="1" applyBorder="1" applyAlignment="1" applyProtection="1">
      <alignment horizontal="left" vertical="center"/>
    </xf>
    <xf numFmtId="0" fontId="33" fillId="8" borderId="46" xfId="0" applyFont="1" applyFill="1" applyBorder="1" applyAlignment="1" applyProtection="1">
      <alignment horizontal="center" vertical="center"/>
    </xf>
    <xf numFmtId="3" fontId="14" fillId="22" borderId="50" xfId="0" applyNumberFormat="1" applyFont="1" applyFill="1" applyBorder="1" applyAlignment="1" applyProtection="1">
      <alignment horizontal="center" vertical="center"/>
      <protection locked="0"/>
    </xf>
    <xf numFmtId="3" fontId="14" fillId="22" borderId="22" xfId="0" applyNumberFormat="1" applyFont="1" applyFill="1" applyBorder="1" applyAlignment="1" applyProtection="1">
      <alignment horizontal="center" vertical="center"/>
      <protection locked="0"/>
    </xf>
    <xf numFmtId="3" fontId="14" fillId="22" borderId="12" xfId="0" applyNumberFormat="1" applyFont="1" applyFill="1" applyBorder="1" applyAlignment="1" applyProtection="1">
      <alignment horizontal="center" vertical="center"/>
      <protection locked="0"/>
    </xf>
    <xf numFmtId="3" fontId="14" fillId="22" borderId="23" xfId="0" applyNumberFormat="1" applyFont="1" applyFill="1" applyBorder="1" applyAlignment="1" applyProtection="1">
      <alignment horizontal="center" vertical="center"/>
      <protection locked="0"/>
    </xf>
    <xf numFmtId="3" fontId="14" fillId="22" borderId="36" xfId="0" applyNumberFormat="1" applyFont="1" applyFill="1" applyBorder="1" applyAlignment="1" applyProtection="1">
      <alignment horizontal="center" vertical="center"/>
      <protection locked="0"/>
    </xf>
    <xf numFmtId="3" fontId="14" fillId="22" borderId="16" xfId="0" applyNumberFormat="1" applyFont="1" applyFill="1" applyBorder="1" applyAlignment="1" applyProtection="1">
      <alignment horizontal="center" vertical="center"/>
      <protection locked="0"/>
    </xf>
    <xf numFmtId="3" fontId="14" fillId="22" borderId="35" xfId="0" applyNumberFormat="1" applyFont="1" applyFill="1" applyBorder="1" applyAlignment="1" applyProtection="1">
      <alignment horizontal="center" vertical="center"/>
      <protection locked="0"/>
    </xf>
    <xf numFmtId="3" fontId="14" fillId="22" borderId="60" xfId="0" applyNumberFormat="1" applyFont="1" applyFill="1" applyBorder="1" applyAlignment="1" applyProtection="1">
      <alignment horizontal="center" vertical="center"/>
      <protection locked="0"/>
    </xf>
    <xf numFmtId="3" fontId="14" fillId="22" borderId="51" xfId="0" applyNumberFormat="1" applyFont="1" applyFill="1" applyBorder="1" applyAlignment="1" applyProtection="1">
      <alignment horizontal="center" vertical="center"/>
      <protection locked="0"/>
    </xf>
    <xf numFmtId="3" fontId="14" fillId="22" borderId="31" xfId="0" applyNumberFormat="1" applyFont="1" applyFill="1" applyBorder="1" applyAlignment="1" applyProtection="1">
      <alignment horizontal="center" vertical="center"/>
      <protection locked="0"/>
    </xf>
    <xf numFmtId="0" fontId="14" fillId="22" borderId="16" xfId="0" applyFont="1" applyFill="1" applyBorder="1" applyAlignment="1" applyProtection="1">
      <alignment horizontal="center" vertical="center"/>
      <protection locked="0"/>
    </xf>
    <xf numFmtId="0" fontId="9" fillId="22" borderId="16" xfId="0" applyFont="1" applyFill="1" applyBorder="1" applyAlignment="1" applyProtection="1">
      <alignment horizontal="center" vertical="center"/>
      <protection locked="0" hidden="1"/>
    </xf>
    <xf numFmtId="3" fontId="8" fillId="22" borderId="34" xfId="0" applyNumberFormat="1" applyFont="1" applyFill="1" applyBorder="1" applyAlignment="1" applyProtection="1">
      <alignment horizontal="center" vertical="center"/>
      <protection locked="0"/>
    </xf>
    <xf numFmtId="0" fontId="9" fillId="5" borderId="19" xfId="0" applyFont="1" applyFill="1" applyBorder="1" applyAlignment="1" applyProtection="1">
      <alignment vertical="center"/>
    </xf>
    <xf numFmtId="3" fontId="8" fillId="22" borderId="22" xfId="0" applyNumberFormat="1" applyFont="1" applyFill="1" applyBorder="1" applyAlignment="1" applyProtection="1">
      <alignment horizontal="center" vertical="center"/>
      <protection locked="0"/>
    </xf>
    <xf numFmtId="3" fontId="8" fillId="22" borderId="12" xfId="0" applyNumberFormat="1" applyFont="1" applyFill="1" applyBorder="1" applyAlignment="1" applyProtection="1">
      <alignment horizontal="center" vertical="center"/>
      <protection locked="0"/>
    </xf>
    <xf numFmtId="3" fontId="8" fillId="22" borderId="23" xfId="0" applyNumberFormat="1" applyFont="1" applyFill="1" applyBorder="1" applyAlignment="1" applyProtection="1">
      <alignment horizontal="center" vertical="center"/>
      <protection locked="0"/>
    </xf>
    <xf numFmtId="3" fontId="8" fillId="22" borderId="16" xfId="0" applyNumberFormat="1" applyFont="1" applyFill="1" applyBorder="1" applyAlignment="1" applyProtection="1">
      <alignment horizontal="center" vertical="center"/>
      <protection locked="0"/>
    </xf>
    <xf numFmtId="3" fontId="8" fillId="22" borderId="60" xfId="0" applyNumberFormat="1" applyFont="1" applyFill="1" applyBorder="1" applyAlignment="1" applyProtection="1">
      <alignment horizontal="center" vertical="center"/>
      <protection locked="0"/>
    </xf>
    <xf numFmtId="3" fontId="8" fillId="22" borderId="35" xfId="0" applyNumberFormat="1" applyFont="1" applyFill="1" applyBorder="1" applyAlignment="1" applyProtection="1">
      <alignment horizontal="center" vertical="center"/>
      <protection locked="0"/>
    </xf>
    <xf numFmtId="0" fontId="8" fillId="22" borderId="34" xfId="0" applyFont="1" applyFill="1" applyBorder="1" applyAlignment="1" applyProtection="1">
      <alignment horizontal="center" vertical="center"/>
      <protection locked="0"/>
    </xf>
    <xf numFmtId="0" fontId="8" fillId="22" borderId="16" xfId="0" applyFont="1" applyFill="1" applyBorder="1" applyAlignment="1" applyProtection="1">
      <alignment horizontal="center" vertical="center"/>
      <protection locked="0"/>
    </xf>
    <xf numFmtId="0" fontId="8" fillId="22" borderId="35" xfId="0" applyFont="1" applyFill="1" applyBorder="1" applyAlignment="1" applyProtection="1">
      <alignment horizontal="center" vertical="center"/>
      <protection locked="0"/>
    </xf>
    <xf numFmtId="1" fontId="8" fillId="22" borderId="19" xfId="0" applyNumberFormat="1" applyFont="1" applyFill="1" applyBorder="1" applyAlignment="1" applyProtection="1">
      <alignment horizontal="center" vertical="center"/>
      <protection locked="0"/>
    </xf>
    <xf numFmtId="1" fontId="8" fillId="22" borderId="20" xfId="0" applyNumberFormat="1" applyFont="1" applyFill="1" applyBorder="1" applyAlignment="1" applyProtection="1">
      <alignment horizontal="center" vertical="center"/>
      <protection locked="0"/>
    </xf>
    <xf numFmtId="1" fontId="8" fillId="22" borderId="21" xfId="0" applyNumberFormat="1" applyFont="1" applyFill="1" applyBorder="1" applyAlignment="1" applyProtection="1">
      <alignment horizontal="center" vertical="center"/>
      <protection locked="0"/>
    </xf>
    <xf numFmtId="3" fontId="8" fillId="22" borderId="36" xfId="0" applyNumberFormat="1" applyFont="1" applyFill="1" applyBorder="1" applyAlignment="1" applyProtection="1">
      <alignment horizontal="center" vertical="center"/>
      <protection locked="0"/>
    </xf>
    <xf numFmtId="3" fontId="14" fillId="22" borderId="19" xfId="1" applyNumberFormat="1" applyFont="1" applyFill="1" applyBorder="1" applyAlignment="1" applyProtection="1">
      <alignment horizontal="center" vertical="center"/>
      <protection locked="0"/>
    </xf>
    <xf numFmtId="3" fontId="14" fillId="22" borderId="20" xfId="1" applyNumberFormat="1" applyFont="1" applyFill="1" applyBorder="1" applyAlignment="1" applyProtection="1">
      <alignment horizontal="center" vertical="center"/>
      <protection locked="0"/>
    </xf>
    <xf numFmtId="3" fontId="14" fillId="22" borderId="21" xfId="1" applyNumberFormat="1" applyFont="1" applyFill="1" applyBorder="1" applyAlignment="1" applyProtection="1">
      <alignment horizontal="center" vertical="center"/>
      <protection locked="0"/>
    </xf>
    <xf numFmtId="3" fontId="8" fillId="22" borderId="26" xfId="0" applyNumberFormat="1" applyFont="1" applyFill="1" applyBorder="1" applyAlignment="1" applyProtection="1">
      <alignment horizontal="center" vertical="center"/>
      <protection locked="0"/>
    </xf>
    <xf numFmtId="4" fontId="6" fillId="22" borderId="12" xfId="0" applyNumberFormat="1" applyFont="1" applyFill="1" applyBorder="1" applyAlignment="1" applyProtection="1">
      <alignment horizontal="center" vertical="center"/>
      <protection locked="0"/>
    </xf>
    <xf numFmtId="3" fontId="6" fillId="22" borderId="12" xfId="0" applyNumberFormat="1" applyFont="1" applyFill="1" applyBorder="1" applyAlignment="1" applyProtection="1">
      <alignment horizontal="center" vertical="center"/>
      <protection locked="0"/>
    </xf>
    <xf numFmtId="2" fontId="8" fillId="22" borderId="12" xfId="0" applyNumberFormat="1" applyFont="1" applyFill="1" applyBorder="1" applyAlignment="1" applyProtection="1">
      <alignment horizontal="center" vertical="center"/>
      <protection locked="0"/>
    </xf>
    <xf numFmtId="0" fontId="9" fillId="22" borderId="0" xfId="0" applyFont="1" applyFill="1" applyBorder="1" applyAlignment="1" applyProtection="1">
      <alignment horizontal="center" vertical="center" wrapText="1"/>
    </xf>
    <xf numFmtId="3" fontId="0" fillId="22" borderId="12" xfId="0" applyNumberFormat="1" applyFill="1" applyBorder="1" applyAlignment="1" applyProtection="1">
      <alignment horizontal="center" vertical="center"/>
      <protection locked="0"/>
    </xf>
    <xf numFmtId="0" fontId="8" fillId="22" borderId="12" xfId="0" applyFont="1" applyFill="1" applyBorder="1" applyAlignment="1" applyProtection="1">
      <alignment horizontal="center" vertical="center"/>
      <protection locked="0"/>
    </xf>
    <xf numFmtId="0" fontId="8" fillId="22" borderId="14" xfId="0" applyFont="1" applyFill="1" applyBorder="1" applyAlignment="1" applyProtection="1">
      <alignment horizontal="center" vertical="center"/>
      <protection locked="0"/>
    </xf>
    <xf numFmtId="17" fontId="0" fillId="0" borderId="12" xfId="0" quotePrefix="1" applyNumberFormat="1" applyBorder="1" applyAlignment="1">
      <alignment horizontal="center" vertical="center" wrapText="1"/>
    </xf>
    <xf numFmtId="0" fontId="0" fillId="0" borderId="12" xfId="0" quotePrefix="1" applyBorder="1" applyAlignment="1">
      <alignment horizontal="center" vertical="center" wrapText="1"/>
    </xf>
    <xf numFmtId="0" fontId="0" fillId="0" borderId="12" xfId="0" applyBorder="1" applyAlignment="1">
      <alignment horizontal="center" vertical="center" wrapText="1"/>
    </xf>
    <xf numFmtId="17" fontId="0" fillId="0" borderId="12" xfId="0" applyNumberFormat="1" applyBorder="1" applyAlignment="1">
      <alignment horizontal="center" vertical="center" wrapText="1"/>
    </xf>
    <xf numFmtId="2" fontId="24" fillId="2" borderId="12" xfId="1" applyNumberFormat="1" applyFill="1" applyBorder="1" applyAlignment="1" applyProtection="1">
      <alignment horizontal="center" vertical="center"/>
    </xf>
    <xf numFmtId="0" fontId="24" fillId="0" borderId="12" xfId="1" applyBorder="1" applyAlignment="1">
      <alignment horizontal="center" vertical="center" wrapText="1"/>
    </xf>
    <xf numFmtId="0" fontId="24" fillId="0" borderId="12" xfId="1" applyFill="1" applyBorder="1" applyAlignment="1">
      <alignment horizontal="center" vertical="center" wrapText="1"/>
    </xf>
    <xf numFmtId="0" fontId="8" fillId="22" borderId="0" xfId="0" applyFont="1" applyFill="1"/>
    <xf numFmtId="0" fontId="8" fillId="2" borderId="0" xfId="0" applyFont="1" applyFill="1" applyAlignment="1">
      <alignment horizontal="right" vertical="center"/>
    </xf>
    <xf numFmtId="0" fontId="19" fillId="2" borderId="0" xfId="0" applyFont="1" applyFill="1" applyBorder="1" applyProtection="1"/>
    <xf numFmtId="0" fontId="8" fillId="16" borderId="0" xfId="0" applyFont="1" applyFill="1" applyBorder="1" applyAlignment="1">
      <alignment horizontal="right"/>
    </xf>
    <xf numFmtId="0" fontId="14" fillId="23" borderId="16" xfId="0" applyFont="1" applyFill="1" applyBorder="1" applyAlignment="1" applyProtection="1">
      <alignment horizontal="center" vertical="center"/>
      <protection locked="0"/>
    </xf>
    <xf numFmtId="2" fontId="14" fillId="23" borderId="12" xfId="0" applyNumberFormat="1" applyFont="1" applyFill="1" applyBorder="1" applyAlignment="1" applyProtection="1">
      <alignment horizontal="center" vertical="center"/>
      <protection locked="0"/>
    </xf>
    <xf numFmtId="0" fontId="8" fillId="0" borderId="0" xfId="0" applyFont="1" applyAlignment="1">
      <alignment vertical="center" wrapText="1"/>
    </xf>
    <xf numFmtId="0" fontId="14" fillId="0" borderId="0" xfId="0" applyFont="1" applyBorder="1" applyAlignment="1" applyProtection="1">
      <alignment horizontal="left" vertical="top"/>
    </xf>
    <xf numFmtId="0" fontId="8" fillId="0" borderId="51" xfId="0" applyFont="1" applyBorder="1" applyAlignment="1">
      <alignment horizontal="left" vertical="center" wrapText="1"/>
    </xf>
    <xf numFmtId="0" fontId="76" fillId="0" borderId="0" xfId="1" applyFont="1"/>
    <xf numFmtId="0" fontId="8" fillId="2" borderId="10" xfId="0" applyFont="1" applyFill="1" applyBorder="1" applyAlignment="1" applyProtection="1">
      <alignment horizontal="left" vertical="top" wrapText="1"/>
      <protection hidden="1"/>
    </xf>
    <xf numFmtId="0" fontId="8" fillId="2" borderId="13" xfId="0" applyFont="1" applyFill="1" applyBorder="1" applyAlignment="1" applyProtection="1">
      <alignment horizontal="left" vertical="top" wrapText="1"/>
      <protection hidden="1"/>
    </xf>
    <xf numFmtId="2" fontId="70" fillId="2" borderId="2" xfId="0" applyNumberFormat="1" applyFont="1" applyFill="1" applyBorder="1" applyAlignment="1" applyProtection="1">
      <alignment horizontal="center" vertical="center" wrapText="1"/>
      <protection hidden="1"/>
    </xf>
    <xf numFmtId="0" fontId="55" fillId="2" borderId="0" xfId="0" applyFont="1" applyFill="1" applyBorder="1" applyAlignment="1" applyProtection="1">
      <alignment horizontal="center" vertical="center"/>
      <protection hidden="1"/>
    </xf>
    <xf numFmtId="0" fontId="8" fillId="2" borderId="10" xfId="0" applyFont="1" applyFill="1" applyBorder="1" applyAlignment="1" applyProtection="1">
      <alignment horizontal="left" vertical="center" wrapText="1"/>
      <protection hidden="1"/>
    </xf>
    <xf numFmtId="0" fontId="8" fillId="2" borderId="13" xfId="0" applyFont="1" applyFill="1" applyBorder="1" applyAlignment="1" applyProtection="1">
      <alignment horizontal="left" vertical="center" wrapText="1"/>
      <protection hidden="1"/>
    </xf>
    <xf numFmtId="0" fontId="8" fillId="2" borderId="7" xfId="0" applyFont="1" applyFill="1" applyBorder="1" applyAlignment="1" applyProtection="1">
      <alignment horizontal="left" wrapText="1"/>
      <protection hidden="1"/>
    </xf>
    <xf numFmtId="0" fontId="33" fillId="0" borderId="46" xfId="0" applyFont="1" applyBorder="1" applyAlignment="1" applyProtection="1">
      <alignment horizontal="center" vertical="center" wrapText="1"/>
    </xf>
    <xf numFmtId="0" fontId="33" fillId="0" borderId="48" xfId="0" applyFont="1" applyBorder="1" applyAlignment="1" applyProtection="1">
      <alignment horizontal="center" vertical="center" wrapText="1"/>
    </xf>
    <xf numFmtId="0" fontId="14" fillId="2" borderId="10" xfId="0" applyFont="1" applyFill="1" applyBorder="1" applyAlignment="1" applyProtection="1">
      <alignment horizontal="left" vertical="center" wrapText="1"/>
    </xf>
    <xf numFmtId="0" fontId="14" fillId="0" borderId="1" xfId="0" applyFont="1" applyFill="1" applyBorder="1" applyAlignment="1" applyProtection="1">
      <alignment horizontal="center" vertical="center"/>
    </xf>
    <xf numFmtId="0" fontId="14" fillId="0" borderId="2" xfId="0" applyFont="1" applyFill="1" applyBorder="1" applyAlignment="1" applyProtection="1">
      <alignment horizontal="center" vertical="center"/>
    </xf>
    <xf numFmtId="0" fontId="14" fillId="0" borderId="3" xfId="0" applyFont="1" applyFill="1" applyBorder="1" applyAlignment="1" applyProtection="1">
      <alignment horizontal="center" vertical="center"/>
    </xf>
    <xf numFmtId="0" fontId="19" fillId="0" borderId="4" xfId="0" applyFont="1" applyBorder="1" applyAlignment="1" applyProtection="1">
      <alignment horizontal="left" vertical="center" wrapText="1"/>
    </xf>
    <xf numFmtId="0" fontId="19" fillId="0" borderId="0" xfId="0" applyFont="1" applyBorder="1" applyAlignment="1" applyProtection="1">
      <alignment horizontal="left" vertical="center" wrapText="1"/>
    </xf>
    <xf numFmtId="0" fontId="19" fillId="0" borderId="5" xfId="0" applyFont="1" applyBorder="1" applyAlignment="1" applyProtection="1">
      <alignment horizontal="left" vertical="center" wrapText="1"/>
    </xf>
    <xf numFmtId="0" fontId="14" fillId="2" borderId="13" xfId="0" applyFont="1" applyFill="1" applyBorder="1" applyAlignment="1" applyProtection="1">
      <alignment horizontal="left" vertical="center" wrapText="1"/>
    </xf>
    <xf numFmtId="0" fontId="14" fillId="2" borderId="53" xfId="0" applyFont="1" applyFill="1" applyBorder="1" applyAlignment="1" applyProtection="1">
      <alignment horizontal="left" vertical="center"/>
    </xf>
    <xf numFmtId="0" fontId="33" fillId="2" borderId="2" xfId="0" applyFont="1" applyFill="1" applyBorder="1" applyAlignment="1" applyProtection="1">
      <alignment horizontal="left" vertical="center"/>
    </xf>
    <xf numFmtId="0" fontId="45" fillId="0" borderId="0" xfId="0" applyFont="1" applyAlignment="1" applyProtection="1">
      <alignment horizontal="center"/>
    </xf>
    <xf numFmtId="0" fontId="14" fillId="2" borderId="10" xfId="0" applyFont="1" applyFill="1" applyBorder="1" applyAlignment="1" applyProtection="1">
      <alignment horizontal="left" vertical="center"/>
    </xf>
    <xf numFmtId="0" fontId="14" fillId="2" borderId="13" xfId="0" applyFont="1" applyFill="1" applyBorder="1" applyAlignment="1" applyProtection="1">
      <alignment horizontal="left" vertical="center"/>
    </xf>
    <xf numFmtId="0" fontId="33" fillId="5" borderId="19" xfId="0" applyFont="1" applyFill="1" applyBorder="1" applyAlignment="1" applyProtection="1">
      <alignment horizontal="left" vertical="center"/>
    </xf>
    <xf numFmtId="0" fontId="33" fillId="5" borderId="20" xfId="0" applyFont="1" applyFill="1" applyBorder="1" applyAlignment="1" applyProtection="1">
      <alignment horizontal="left" vertical="center"/>
    </xf>
    <xf numFmtId="0" fontId="33" fillId="5" borderId="22" xfId="0" applyFont="1" applyFill="1" applyBorder="1" applyAlignment="1" applyProtection="1">
      <alignment horizontal="left" vertical="center"/>
    </xf>
    <xf numFmtId="0" fontId="33" fillId="5" borderId="12" xfId="0" applyFont="1" applyFill="1" applyBorder="1" applyAlignment="1" applyProtection="1">
      <alignment horizontal="left" vertical="center"/>
    </xf>
    <xf numFmtId="0" fontId="50" fillId="10" borderId="46" xfId="0" applyFont="1" applyFill="1" applyBorder="1" applyAlignment="1">
      <alignment horizontal="center" vertical="center"/>
    </xf>
    <xf numFmtId="0" fontId="50" fillId="10" borderId="9" xfId="0" applyFont="1" applyFill="1" applyBorder="1" applyAlignment="1">
      <alignment horizontal="center" vertical="center"/>
    </xf>
    <xf numFmtId="0" fontId="50" fillId="10" borderId="48" xfId="0" applyFont="1" applyFill="1" applyBorder="1" applyAlignment="1">
      <alignment horizontal="center" vertical="center"/>
    </xf>
    <xf numFmtId="0" fontId="44" fillId="5" borderId="22" xfId="0" applyFont="1" applyFill="1" applyBorder="1" applyAlignment="1" applyProtection="1">
      <alignment horizontal="left" vertical="center"/>
    </xf>
    <xf numFmtId="0" fontId="44" fillId="5" borderId="12" xfId="0" applyFont="1" applyFill="1" applyBorder="1" applyAlignment="1" applyProtection="1">
      <alignment horizontal="left" vertical="center"/>
    </xf>
    <xf numFmtId="0" fontId="45" fillId="8" borderId="19" xfId="0" applyFont="1" applyFill="1" applyBorder="1" applyAlignment="1" applyProtection="1">
      <alignment horizontal="left" vertical="center" wrapText="1"/>
    </xf>
    <xf numFmtId="0" fontId="45" fillId="8" borderId="20" xfId="0" applyFont="1" applyFill="1" applyBorder="1" applyAlignment="1" applyProtection="1">
      <alignment horizontal="left" vertical="center" wrapText="1"/>
    </xf>
    <xf numFmtId="0" fontId="45" fillId="8" borderId="34" xfId="0" applyFont="1" applyFill="1" applyBorder="1" applyAlignment="1" applyProtection="1">
      <alignment horizontal="left" vertical="center" wrapText="1"/>
    </xf>
    <xf numFmtId="0" fontId="50" fillId="8" borderId="46" xfId="0" applyFont="1" applyFill="1" applyBorder="1" applyAlignment="1">
      <alignment horizontal="center" vertical="center"/>
    </xf>
    <xf numFmtId="0" fontId="50" fillId="8" borderId="9" xfId="0" applyFont="1" applyFill="1" applyBorder="1" applyAlignment="1">
      <alignment horizontal="center" vertical="center"/>
    </xf>
    <xf numFmtId="0" fontId="50" fillId="8" borderId="48" xfId="0" applyFont="1" applyFill="1" applyBorder="1" applyAlignment="1">
      <alignment horizontal="center" vertical="center"/>
    </xf>
    <xf numFmtId="3" fontId="14" fillId="13" borderId="21" xfId="0" applyNumberFormat="1" applyFont="1" applyFill="1" applyBorder="1" applyAlignment="1" applyProtection="1">
      <alignment horizontal="center" vertical="center"/>
      <protection locked="0"/>
    </xf>
    <xf numFmtId="3" fontId="14" fillId="13" borderId="26" xfId="0" applyNumberFormat="1" applyFont="1" applyFill="1" applyBorder="1" applyAlignment="1" applyProtection="1">
      <alignment horizontal="center" vertical="center"/>
      <protection locked="0"/>
    </xf>
    <xf numFmtId="3" fontId="14" fillId="2" borderId="28" xfId="0" applyNumberFormat="1" applyFont="1" applyFill="1" applyBorder="1" applyAlignment="1" applyProtection="1">
      <alignment horizontal="center" vertical="center"/>
    </xf>
    <xf numFmtId="3" fontId="14" fillId="2" borderId="34" xfId="0" applyNumberFormat="1" applyFont="1" applyFill="1" applyBorder="1" applyAlignment="1" applyProtection="1">
      <alignment horizontal="center" vertical="center"/>
    </xf>
    <xf numFmtId="3" fontId="14" fillId="2" borderId="29" xfId="0" applyNumberFormat="1" applyFont="1" applyFill="1" applyBorder="1" applyAlignment="1" applyProtection="1">
      <alignment horizontal="center" vertical="center"/>
    </xf>
    <xf numFmtId="3" fontId="14" fillId="2" borderId="35" xfId="0" applyNumberFormat="1" applyFont="1" applyFill="1" applyBorder="1" applyAlignment="1" applyProtection="1">
      <alignment horizontal="center" vertical="center"/>
    </xf>
    <xf numFmtId="3" fontId="14" fillId="12" borderId="30" xfId="0" applyNumberFormat="1" applyFont="1" applyFill="1" applyBorder="1" applyAlignment="1" applyProtection="1">
      <alignment horizontal="center" vertical="center"/>
    </xf>
    <xf numFmtId="3" fontId="14" fillId="12" borderId="31" xfId="0" applyNumberFormat="1" applyFont="1" applyFill="1" applyBorder="1" applyAlignment="1" applyProtection="1">
      <alignment horizontal="center" vertical="center"/>
    </xf>
    <xf numFmtId="0" fontId="14" fillId="2" borderId="51" xfId="0" applyFont="1" applyFill="1" applyBorder="1" applyAlignment="1" applyProtection="1">
      <alignment horizontal="center" vertical="center"/>
    </xf>
    <xf numFmtId="0" fontId="14" fillId="2" borderId="62" xfId="0" applyFont="1" applyFill="1" applyBorder="1" applyAlignment="1" applyProtection="1">
      <alignment horizontal="center" vertical="center"/>
    </xf>
    <xf numFmtId="0" fontId="45" fillId="5" borderId="1" xfId="0" applyFont="1" applyFill="1" applyBorder="1" applyAlignment="1" applyProtection="1">
      <alignment horizontal="center"/>
    </xf>
    <xf numFmtId="0" fontId="45" fillId="5" borderId="2" xfId="0" applyFont="1" applyFill="1" applyBorder="1" applyAlignment="1" applyProtection="1">
      <alignment horizontal="center"/>
    </xf>
    <xf numFmtId="0" fontId="45" fillId="5" borderId="48" xfId="0" applyFont="1" applyFill="1" applyBorder="1" applyAlignment="1" applyProtection="1">
      <alignment horizontal="center"/>
    </xf>
    <xf numFmtId="0" fontId="50" fillId="5" borderId="46" xfId="0" applyFont="1" applyFill="1" applyBorder="1" applyAlignment="1">
      <alignment horizontal="center" vertical="center"/>
    </xf>
    <xf numFmtId="0" fontId="50" fillId="5" borderId="9" xfId="0" applyFont="1" applyFill="1" applyBorder="1" applyAlignment="1">
      <alignment horizontal="center" vertical="center"/>
    </xf>
    <xf numFmtId="0" fontId="50" fillId="5" borderId="48" xfId="0" applyFont="1" applyFill="1" applyBorder="1" applyAlignment="1">
      <alignment horizontal="center" vertical="center"/>
    </xf>
    <xf numFmtId="0" fontId="51" fillId="5" borderId="52" xfId="0" applyFont="1" applyFill="1" applyBorder="1" applyAlignment="1" applyProtection="1">
      <alignment horizontal="left"/>
    </xf>
    <xf numFmtId="0" fontId="51" fillId="5" borderId="29" xfId="0" applyFont="1" applyFill="1" applyBorder="1" applyAlignment="1" applyProtection="1">
      <alignment horizontal="left"/>
    </xf>
    <xf numFmtId="0" fontId="14" fillId="5" borderId="47" xfId="0" applyFont="1" applyFill="1" applyBorder="1" applyAlignment="1" applyProtection="1">
      <alignment horizontal="left" vertical="center" wrapText="1"/>
    </xf>
    <xf numFmtId="0" fontId="14" fillId="5" borderId="18" xfId="0" applyFont="1" applyFill="1" applyBorder="1" applyAlignment="1" applyProtection="1">
      <alignment horizontal="left" vertical="center" wrapText="1"/>
    </xf>
    <xf numFmtId="0" fontId="14" fillId="5" borderId="51" xfId="0" applyFont="1" applyFill="1" applyBorder="1" applyAlignment="1" applyProtection="1">
      <alignment horizontal="left" vertical="center" wrapText="1"/>
    </xf>
    <xf numFmtId="0" fontId="14" fillId="5" borderId="13" xfId="0" applyFont="1" applyFill="1" applyBorder="1" applyAlignment="1" applyProtection="1">
      <alignment horizontal="left" vertical="center" wrapText="1"/>
    </xf>
    <xf numFmtId="0" fontId="33" fillId="5" borderId="47" xfId="0" applyFont="1" applyFill="1" applyBorder="1" applyAlignment="1" applyProtection="1">
      <alignment horizontal="left" vertical="center"/>
    </xf>
    <xf numFmtId="0" fontId="33" fillId="5" borderId="11" xfId="0" applyFont="1" applyFill="1" applyBorder="1" applyAlignment="1" applyProtection="1">
      <alignment horizontal="left" vertical="center"/>
    </xf>
    <xf numFmtId="0" fontId="29" fillId="5" borderId="11" xfId="0" applyFont="1" applyFill="1" applyBorder="1" applyAlignment="1">
      <alignment horizontal="left" vertical="center"/>
    </xf>
    <xf numFmtId="0" fontId="33" fillId="5" borderId="55" xfId="0" applyFont="1" applyFill="1" applyBorder="1" applyAlignment="1" applyProtection="1">
      <alignment horizontal="center" vertical="center" wrapText="1"/>
    </xf>
    <xf numFmtId="0" fontId="33" fillId="5" borderId="45" xfId="0" applyFont="1" applyFill="1" applyBorder="1" applyAlignment="1" applyProtection="1">
      <alignment horizontal="center" vertical="center" wrapText="1"/>
    </xf>
    <xf numFmtId="0" fontId="33" fillId="5" borderId="22" xfId="0" applyFont="1" applyFill="1" applyBorder="1" applyAlignment="1" applyProtection="1">
      <alignment horizontal="center" vertical="center"/>
    </xf>
    <xf numFmtId="0" fontId="33" fillId="5" borderId="24" xfId="0" applyFont="1" applyFill="1" applyBorder="1" applyAlignment="1" applyProtection="1">
      <alignment horizontal="center" vertical="center"/>
    </xf>
    <xf numFmtId="0" fontId="14" fillId="5" borderId="51" xfId="0" applyFont="1" applyFill="1" applyBorder="1" applyAlignment="1" applyProtection="1">
      <alignment horizontal="left" vertical="top" wrapText="1"/>
    </xf>
    <xf numFmtId="0" fontId="33" fillId="5" borderId="10" xfId="0" applyFont="1" applyFill="1" applyBorder="1" applyAlignment="1" applyProtection="1">
      <alignment horizontal="left" vertical="top" wrapText="1"/>
    </xf>
    <xf numFmtId="0" fontId="33" fillId="2" borderId="0" xfId="0" applyFont="1" applyFill="1" applyBorder="1" applyAlignment="1">
      <alignment horizontal="center" vertical="top" wrapText="1"/>
    </xf>
    <xf numFmtId="0" fontId="14" fillId="12" borderId="19" xfId="0" applyFont="1" applyFill="1" applyBorder="1" applyAlignment="1" applyProtection="1">
      <alignment horizontal="center" vertical="center" wrapText="1"/>
    </xf>
    <xf numFmtId="0" fontId="14" fillId="12" borderId="20" xfId="0" applyFont="1" applyFill="1" applyBorder="1" applyAlignment="1" applyProtection="1">
      <alignment horizontal="center" vertical="center" wrapText="1"/>
    </xf>
    <xf numFmtId="0" fontId="14" fillId="12" borderId="24" xfId="0" applyFont="1" applyFill="1" applyBorder="1" applyAlignment="1" applyProtection="1">
      <alignment horizontal="center" vertical="center" wrapText="1"/>
    </xf>
    <xf numFmtId="0" fontId="14" fillId="12" borderId="25" xfId="0" applyFont="1" applyFill="1" applyBorder="1" applyAlignment="1" applyProtection="1">
      <alignment horizontal="center" vertical="center" wrapText="1"/>
    </xf>
    <xf numFmtId="0" fontId="14" fillId="2" borderId="59" xfId="0" applyFont="1" applyFill="1" applyBorder="1" applyAlignment="1" applyProtection="1">
      <alignment horizontal="left" vertical="center"/>
    </xf>
    <xf numFmtId="0" fontId="14" fillId="2" borderId="74" xfId="0" applyFont="1" applyFill="1" applyBorder="1" applyAlignment="1" applyProtection="1">
      <alignment horizontal="left" vertical="center"/>
    </xf>
    <xf numFmtId="0" fontId="11" fillId="2" borderId="55" xfId="0" applyFont="1" applyFill="1" applyBorder="1" applyAlignment="1">
      <alignment horizontal="left" vertical="center"/>
    </xf>
    <xf numFmtId="0" fontId="14" fillId="5" borderId="52" xfId="0" applyFont="1" applyFill="1" applyBorder="1" applyAlignment="1" applyProtection="1">
      <alignment horizontal="left" vertical="center" wrapText="1"/>
    </xf>
    <xf numFmtId="0" fontId="14" fillId="5" borderId="29" xfId="0" applyFont="1" applyFill="1" applyBorder="1" applyAlignment="1" applyProtection="1">
      <alignment horizontal="left" vertical="center" wrapText="1"/>
    </xf>
    <xf numFmtId="0" fontId="33" fillId="5" borderId="62" xfId="0" applyFont="1" applyFill="1" applyBorder="1" applyAlignment="1" applyProtection="1">
      <alignment horizontal="left" vertical="center"/>
    </xf>
    <xf numFmtId="0" fontId="33" fillId="2" borderId="2" xfId="0" applyFont="1" applyFill="1" applyBorder="1" applyAlignment="1" applyProtection="1">
      <alignment horizontal="left" vertical="center" wrapText="1"/>
    </xf>
    <xf numFmtId="0" fontId="14" fillId="2" borderId="52" xfId="0" applyFont="1" applyFill="1" applyBorder="1" applyAlignment="1" applyProtection="1">
      <alignment horizontal="left" vertical="center"/>
    </xf>
    <xf numFmtId="0" fontId="14" fillId="2" borderId="61" xfId="0" applyFont="1" applyFill="1" applyBorder="1" applyAlignment="1" applyProtection="1">
      <alignment horizontal="left" vertical="center"/>
    </xf>
    <xf numFmtId="0" fontId="14" fillId="2" borderId="19" xfId="0" applyFont="1" applyFill="1" applyBorder="1" applyAlignment="1" applyProtection="1">
      <alignment horizontal="left" vertical="center"/>
    </xf>
    <xf numFmtId="0" fontId="14" fillId="2" borderId="21" xfId="0" applyFont="1" applyFill="1" applyBorder="1" applyAlignment="1" applyProtection="1">
      <alignment horizontal="left" vertical="center"/>
    </xf>
    <xf numFmtId="0" fontId="14" fillId="2" borderId="37" xfId="0" applyFont="1" applyFill="1" applyBorder="1" applyAlignment="1" applyProtection="1">
      <alignment horizontal="left" vertical="center"/>
    </xf>
    <xf numFmtId="0" fontId="14" fillId="2" borderId="39" xfId="0" applyFont="1" applyFill="1" applyBorder="1" applyAlignment="1" applyProtection="1">
      <alignment horizontal="left" vertical="center"/>
    </xf>
    <xf numFmtId="0" fontId="33" fillId="8" borderId="46" xfId="0" applyFont="1" applyFill="1" applyBorder="1" applyAlignment="1" applyProtection="1">
      <alignment horizontal="center" vertical="center"/>
    </xf>
    <xf numFmtId="0" fontId="33" fillId="8" borderId="48" xfId="0" applyFont="1" applyFill="1" applyBorder="1" applyAlignment="1" applyProtection="1">
      <alignment horizontal="center" vertical="center"/>
    </xf>
    <xf numFmtId="0" fontId="14" fillId="2" borderId="52" xfId="0" applyFont="1" applyFill="1" applyBorder="1" applyAlignment="1" applyProtection="1">
      <alignment horizontal="center" vertical="center"/>
    </xf>
    <xf numFmtId="0" fontId="14" fillId="2" borderId="61"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0" fontId="14" fillId="2" borderId="22" xfId="0" applyFont="1" applyFill="1" applyBorder="1" applyAlignment="1" applyProtection="1">
      <alignment horizontal="left" vertical="center"/>
    </xf>
    <xf numFmtId="0" fontId="14" fillId="2" borderId="23" xfId="0" applyFont="1" applyFill="1" applyBorder="1" applyAlignment="1" applyProtection="1">
      <alignment horizontal="left" vertical="center"/>
    </xf>
    <xf numFmtId="0" fontId="19" fillId="0" borderId="0" xfId="0" applyFont="1" applyFill="1" applyAlignment="1" applyProtection="1">
      <alignment horizontal="center" wrapText="1"/>
    </xf>
    <xf numFmtId="0" fontId="62" fillId="2" borderId="0" xfId="1" applyFont="1" applyFill="1" applyBorder="1" applyAlignment="1" applyProtection="1">
      <alignment horizontal="left" vertical="center"/>
    </xf>
    <xf numFmtId="0" fontId="33" fillId="0" borderId="76" xfId="0" applyFont="1" applyBorder="1" applyAlignment="1">
      <alignment horizontal="left" vertical="center" wrapText="1"/>
    </xf>
    <xf numFmtId="0" fontId="33" fillId="0" borderId="38" xfId="0" applyFont="1" applyBorder="1" applyAlignment="1">
      <alignment horizontal="left" vertical="center" wrapText="1"/>
    </xf>
    <xf numFmtId="0" fontId="33" fillId="0" borderId="39" xfId="0" applyFont="1" applyBorder="1" applyAlignment="1">
      <alignment horizontal="left" vertical="center" wrapText="1"/>
    </xf>
    <xf numFmtId="0" fontId="33" fillId="5" borderId="12" xfId="0" applyFont="1" applyFill="1" applyBorder="1" applyAlignment="1" applyProtection="1">
      <alignment horizontal="center" vertical="center"/>
    </xf>
    <xf numFmtId="0" fontId="33" fillId="5" borderId="25" xfId="0" applyFont="1" applyFill="1" applyBorder="1" applyAlignment="1" applyProtection="1">
      <alignment horizontal="center" vertical="center"/>
    </xf>
    <xf numFmtId="0" fontId="43" fillId="5" borderId="23" xfId="0" applyFont="1" applyFill="1" applyBorder="1" applyAlignment="1" applyProtection="1">
      <alignment horizontal="center" vertical="center" wrapText="1"/>
    </xf>
    <xf numFmtId="0" fontId="43" fillId="5" borderId="26" xfId="0" applyFont="1" applyFill="1" applyBorder="1" applyAlignment="1" applyProtection="1">
      <alignment horizontal="center" vertical="center" wrapText="1"/>
    </xf>
    <xf numFmtId="3" fontId="33" fillId="8" borderId="55" xfId="0" applyNumberFormat="1" applyFont="1" applyFill="1" applyBorder="1" applyAlignment="1" applyProtection="1">
      <alignment horizontal="center" vertical="center" wrapText="1"/>
    </xf>
    <xf numFmtId="3" fontId="33" fillId="8" borderId="45" xfId="0" applyNumberFormat="1" applyFont="1" applyFill="1" applyBorder="1" applyAlignment="1" applyProtection="1">
      <alignment horizontal="center" vertical="center" wrapText="1"/>
    </xf>
    <xf numFmtId="0" fontId="33" fillId="8" borderId="14" xfId="0" applyFont="1" applyFill="1" applyBorder="1" applyAlignment="1" applyProtection="1">
      <alignment horizontal="center" vertical="center" wrapText="1"/>
    </xf>
    <xf numFmtId="0" fontId="33" fillId="8" borderId="44" xfId="0" applyFont="1" applyFill="1" applyBorder="1" applyAlignment="1" applyProtection="1">
      <alignment horizontal="center" vertical="center" wrapText="1"/>
    </xf>
    <xf numFmtId="0" fontId="33" fillId="8" borderId="59" xfId="0" applyFont="1" applyFill="1" applyBorder="1" applyAlignment="1" applyProtection="1">
      <alignment horizontal="center" vertical="center" wrapText="1"/>
    </xf>
    <xf numFmtId="0" fontId="33" fillId="8" borderId="43" xfId="0" applyFont="1" applyFill="1" applyBorder="1" applyAlignment="1" applyProtection="1">
      <alignment horizontal="center" vertical="center" wrapText="1"/>
    </xf>
    <xf numFmtId="0" fontId="33" fillId="0" borderId="37" xfId="0" applyFont="1" applyBorder="1" applyAlignment="1" applyProtection="1">
      <alignment horizontal="left" vertical="center"/>
    </xf>
    <xf numFmtId="0" fontId="11" fillId="0" borderId="38" xfId="0" applyFont="1" applyBorder="1" applyAlignment="1">
      <alignment horizontal="left" vertical="center"/>
    </xf>
    <xf numFmtId="0" fontId="11" fillId="0" borderId="39" xfId="0" applyFont="1" applyBorder="1" applyAlignment="1">
      <alignment horizontal="left" vertical="center"/>
    </xf>
    <xf numFmtId="0" fontId="9" fillId="2" borderId="2" xfId="0" applyFont="1" applyFill="1" applyBorder="1" applyAlignment="1" applyProtection="1">
      <alignment horizontal="left" vertical="center"/>
    </xf>
    <xf numFmtId="0" fontId="8" fillId="2" borderId="10" xfId="0" applyFont="1" applyFill="1" applyBorder="1" applyAlignment="1" applyProtection="1">
      <alignment horizontal="left" vertical="center" wrapText="1"/>
    </xf>
    <xf numFmtId="0" fontId="9" fillId="2" borderId="2" xfId="0" applyFont="1" applyFill="1" applyBorder="1" applyAlignment="1" applyProtection="1">
      <alignment horizontal="left" vertical="center" wrapText="1"/>
    </xf>
    <xf numFmtId="0" fontId="8" fillId="2" borderId="10" xfId="0" applyFont="1" applyFill="1" applyBorder="1" applyAlignment="1">
      <alignment horizontal="left" vertical="center" wrapText="1"/>
    </xf>
    <xf numFmtId="0" fontId="9" fillId="0" borderId="19" xfId="0" applyFont="1" applyBorder="1" applyAlignment="1" applyProtection="1">
      <alignment wrapText="1"/>
    </xf>
    <xf numFmtId="0" fontId="8" fillId="0" borderId="21" xfId="0" applyFont="1" applyBorder="1" applyAlignment="1">
      <alignment wrapText="1"/>
    </xf>
    <xf numFmtId="0" fontId="9" fillId="2" borderId="69" xfId="0" applyFont="1" applyFill="1" applyBorder="1" applyAlignment="1">
      <alignment horizontal="center" vertical="top" wrapText="1"/>
    </xf>
    <xf numFmtId="0" fontId="9" fillId="2" borderId="70" xfId="0" applyFont="1" applyFill="1" applyBorder="1" applyAlignment="1">
      <alignment horizontal="center" vertical="top" wrapText="1"/>
    </xf>
    <xf numFmtId="0" fontId="9" fillId="2" borderId="64" xfId="0" applyFont="1" applyFill="1" applyBorder="1" applyAlignment="1">
      <alignment horizontal="center" vertical="top" wrapText="1"/>
    </xf>
    <xf numFmtId="0" fontId="8" fillId="0" borderId="51" xfId="0" applyFont="1" applyBorder="1" applyAlignment="1" applyProtection="1">
      <alignment horizontal="left" vertical="top" wrapText="1"/>
    </xf>
    <xf numFmtId="0" fontId="8" fillId="0" borderId="10" xfId="0" applyFont="1" applyBorder="1" applyAlignment="1" applyProtection="1">
      <alignment horizontal="left" vertical="top" wrapText="1"/>
    </xf>
    <xf numFmtId="0" fontId="8" fillId="0" borderId="13" xfId="0" applyFont="1" applyBorder="1" applyAlignment="1" applyProtection="1">
      <alignment horizontal="left" vertical="top" wrapText="1"/>
    </xf>
    <xf numFmtId="0" fontId="8" fillId="2" borderId="53" xfId="0" applyFont="1" applyFill="1" applyBorder="1" applyAlignment="1" applyProtection="1">
      <alignment horizontal="left" vertical="center" wrapText="1"/>
    </xf>
    <xf numFmtId="0" fontId="0" fillId="2" borderId="10" xfId="0" applyFill="1" applyBorder="1" applyAlignment="1">
      <alignment horizontal="left" vertical="center" wrapText="1"/>
    </xf>
    <xf numFmtId="0" fontId="0" fillId="2" borderId="13" xfId="0" applyFill="1" applyBorder="1" applyAlignment="1">
      <alignment horizontal="left" vertical="center" wrapText="1"/>
    </xf>
    <xf numFmtId="0" fontId="8" fillId="2" borderId="13" xfId="0" applyFont="1" applyFill="1" applyBorder="1" applyAlignment="1" applyProtection="1">
      <alignment horizontal="left" vertical="center" wrapText="1"/>
    </xf>
    <xf numFmtId="0" fontId="8" fillId="2" borderId="10" xfId="0" applyFont="1" applyFill="1" applyBorder="1" applyAlignment="1" applyProtection="1">
      <alignment horizontal="left" vertical="center"/>
    </xf>
    <xf numFmtId="0" fontId="9" fillId="5" borderId="51" xfId="0" applyFont="1" applyFill="1" applyBorder="1" applyAlignment="1" applyProtection="1">
      <alignment vertical="center"/>
    </xf>
    <xf numFmtId="0" fontId="10" fillId="5" borderId="62" xfId="0" applyFont="1" applyFill="1" applyBorder="1" applyAlignment="1" applyProtection="1">
      <alignment vertical="center"/>
    </xf>
    <xf numFmtId="0" fontId="8" fillId="2" borderId="37" xfId="0" applyFont="1" applyFill="1" applyBorder="1" applyAlignment="1" applyProtection="1">
      <alignment vertical="center"/>
    </xf>
    <xf numFmtId="0" fontId="0" fillId="0" borderId="39" xfId="0" applyBorder="1" applyAlignment="1" applyProtection="1">
      <alignment vertical="center"/>
    </xf>
    <xf numFmtId="0" fontId="27" fillId="5" borderId="46" xfId="0" applyFont="1" applyFill="1" applyBorder="1" applyAlignment="1" applyProtection="1">
      <alignment horizontal="center"/>
    </xf>
    <xf numFmtId="0" fontId="27" fillId="5" borderId="9" xfId="0" applyFont="1" applyFill="1" applyBorder="1" applyAlignment="1" applyProtection="1">
      <alignment horizontal="center"/>
    </xf>
    <xf numFmtId="0" fontId="58" fillId="5" borderId="46" xfId="0" applyFont="1" applyFill="1" applyBorder="1" applyAlignment="1" applyProtection="1">
      <alignment horizontal="center"/>
    </xf>
    <xf numFmtId="0" fontId="58" fillId="5" borderId="9" xfId="0" applyFont="1" applyFill="1" applyBorder="1" applyAlignment="1" applyProtection="1">
      <alignment horizontal="center"/>
    </xf>
    <xf numFmtId="0" fontId="58" fillId="5" borderId="48" xfId="0" applyFont="1" applyFill="1" applyBorder="1" applyAlignment="1" applyProtection="1">
      <alignment horizontal="center"/>
    </xf>
    <xf numFmtId="0" fontId="33" fillId="5" borderId="19" xfId="0" applyFont="1" applyFill="1" applyBorder="1" applyAlignment="1" applyProtection="1">
      <alignment vertical="center"/>
    </xf>
    <xf numFmtId="0" fontId="33" fillId="5" borderId="20" xfId="0" applyFont="1" applyFill="1" applyBorder="1" applyAlignment="1" applyProtection="1">
      <alignment vertical="center"/>
    </xf>
    <xf numFmtId="0" fontId="27" fillId="8" borderId="37" xfId="0" applyFont="1" applyFill="1" applyBorder="1" applyAlignment="1" applyProtection="1">
      <alignment horizontal="center" wrapText="1"/>
    </xf>
    <xf numFmtId="0" fontId="27" fillId="8" borderId="38" xfId="0" applyFont="1" applyFill="1" applyBorder="1" applyAlignment="1" applyProtection="1">
      <alignment horizontal="center" wrapText="1"/>
    </xf>
    <xf numFmtId="0" fontId="27" fillId="8" borderId="39" xfId="0" applyFont="1" applyFill="1" applyBorder="1" applyAlignment="1" applyProtection="1">
      <alignment horizontal="center" wrapText="1"/>
    </xf>
    <xf numFmtId="0" fontId="44" fillId="5" borderId="22" xfId="0" applyFont="1" applyFill="1" applyBorder="1" applyAlignment="1" applyProtection="1">
      <alignment vertical="center"/>
    </xf>
    <xf numFmtId="0" fontId="44" fillId="5" borderId="12" xfId="0" applyFont="1" applyFill="1" applyBorder="1" applyAlignment="1" applyProtection="1">
      <alignment vertical="center"/>
    </xf>
    <xf numFmtId="0" fontId="33" fillId="9" borderId="37" xfId="0" applyFont="1" applyFill="1" applyBorder="1" applyAlignment="1" applyProtection="1">
      <alignment horizontal="left" vertical="center"/>
    </xf>
    <xf numFmtId="0" fontId="33" fillId="9" borderId="79" xfId="0" applyFont="1" applyFill="1" applyBorder="1" applyAlignment="1" applyProtection="1">
      <alignment horizontal="left" vertical="center"/>
    </xf>
    <xf numFmtId="0" fontId="14" fillId="2" borderId="0" xfId="0" applyFont="1" applyFill="1" applyBorder="1" applyAlignment="1" applyProtection="1">
      <alignment horizontal="left" vertical="center" wrapText="1"/>
    </xf>
    <xf numFmtId="0" fontId="8" fillId="2" borderId="52" xfId="0" applyFont="1" applyFill="1" applyBorder="1" applyAlignment="1" applyProtection="1">
      <alignment horizontal="left" vertical="center"/>
    </xf>
    <xf numFmtId="0" fontId="8" fillId="2" borderId="61" xfId="0" applyFont="1" applyFill="1" applyBorder="1" applyAlignment="1" applyProtection="1">
      <alignment horizontal="left" vertical="center"/>
    </xf>
    <xf numFmtId="0" fontId="8" fillId="2" borderId="0" xfId="0" applyFont="1" applyFill="1" applyBorder="1" applyAlignment="1" applyProtection="1">
      <alignment horizontal="left" vertical="center" wrapText="1"/>
    </xf>
    <xf numFmtId="0" fontId="24" fillId="2" borderId="0" xfId="1" applyFill="1" applyBorder="1" applyAlignment="1" applyProtection="1">
      <alignment horizontal="left" vertical="center"/>
    </xf>
    <xf numFmtId="2" fontId="24" fillId="2" borderId="0" xfId="1" applyNumberFormat="1" applyFill="1" applyBorder="1" applyAlignment="1" applyProtection="1">
      <alignment horizontal="left" vertical="center"/>
    </xf>
    <xf numFmtId="0" fontId="9" fillId="0" borderId="46" xfId="0" applyFont="1" applyBorder="1" applyAlignment="1" applyProtection="1">
      <alignment vertical="top" wrapText="1"/>
    </xf>
    <xf numFmtId="0" fontId="8" fillId="0" borderId="9" xfId="0" applyFont="1" applyBorder="1" applyAlignment="1">
      <alignment vertical="top" wrapText="1"/>
    </xf>
    <xf numFmtId="0" fontId="9" fillId="0" borderId="1" xfId="0" applyFont="1" applyBorder="1" applyAlignment="1" applyProtection="1"/>
    <xf numFmtId="0" fontId="0" fillId="0" borderId="2" xfId="0" applyBorder="1" applyAlignment="1"/>
    <xf numFmtId="0" fontId="9" fillId="0" borderId="40" xfId="0" applyFont="1" applyBorder="1" applyAlignment="1" applyProtection="1">
      <alignment wrapText="1"/>
    </xf>
    <xf numFmtId="0" fontId="8" fillId="0" borderId="41" xfId="0" applyFont="1" applyBorder="1" applyAlignment="1">
      <alignment wrapText="1"/>
    </xf>
    <xf numFmtId="0" fontId="8" fillId="0" borderId="56" xfId="0" applyFont="1" applyBorder="1" applyAlignment="1">
      <alignment wrapText="1"/>
    </xf>
    <xf numFmtId="0" fontId="8" fillId="0" borderId="57" xfId="0" applyFont="1" applyBorder="1" applyAlignment="1">
      <alignment wrapText="1"/>
    </xf>
    <xf numFmtId="0" fontId="8" fillId="12" borderId="68" xfId="0" applyFont="1" applyFill="1" applyBorder="1" applyAlignment="1" applyProtection="1">
      <alignment horizontal="left" vertical="center" wrapText="1"/>
    </xf>
    <xf numFmtId="0" fontId="8" fillId="12" borderId="43" xfId="0" applyFont="1" applyFill="1" applyBorder="1" applyAlignment="1" applyProtection="1">
      <alignment horizontal="left" vertical="center" wrapText="1"/>
    </xf>
    <xf numFmtId="3" fontId="8" fillId="13" borderId="67" xfId="0" applyNumberFormat="1" applyFont="1" applyFill="1" applyBorder="1" applyAlignment="1" applyProtection="1">
      <alignment horizontal="center" vertical="center"/>
      <protection locked="0"/>
    </xf>
    <xf numFmtId="3" fontId="8" fillId="13" borderId="73" xfId="0" applyNumberFormat="1" applyFont="1" applyFill="1" applyBorder="1" applyAlignment="1" applyProtection="1">
      <alignment horizontal="center" vertical="center"/>
      <protection locked="0"/>
    </xf>
    <xf numFmtId="3" fontId="8" fillId="14" borderId="69" xfId="0" applyNumberFormat="1" applyFont="1" applyFill="1" applyBorder="1" applyAlignment="1" applyProtection="1">
      <alignment horizontal="center" vertical="center"/>
    </xf>
    <xf numFmtId="3" fontId="8" fillId="14" borderId="64" xfId="0" applyNumberFormat="1" applyFont="1" applyFill="1" applyBorder="1" applyAlignment="1" applyProtection="1">
      <alignment horizontal="center" vertical="center"/>
    </xf>
    <xf numFmtId="0" fontId="33" fillId="5" borderId="51" xfId="0" applyFont="1" applyFill="1" applyBorder="1" applyAlignment="1" applyProtection="1">
      <alignment vertical="center"/>
    </xf>
    <xf numFmtId="0" fontId="33" fillId="5" borderId="13" xfId="0" applyFont="1" applyFill="1" applyBorder="1" applyAlignment="1" applyProtection="1">
      <alignment vertical="center"/>
    </xf>
    <xf numFmtId="0" fontId="33" fillId="8" borderId="52" xfId="0" applyFont="1" applyFill="1" applyBorder="1" applyAlignment="1" applyProtection="1">
      <alignment vertical="center"/>
    </xf>
    <xf numFmtId="0" fontId="33" fillId="8" borderId="29" xfId="0" applyFont="1" applyFill="1" applyBorder="1" applyAlignment="1" applyProtection="1">
      <alignment vertical="center"/>
    </xf>
    <xf numFmtId="0" fontId="14" fillId="5" borderId="46" xfId="0" applyFont="1" applyFill="1" applyBorder="1" applyAlignment="1" applyProtection="1">
      <alignment horizontal="left" vertical="center" wrapText="1"/>
    </xf>
    <xf numFmtId="0" fontId="14" fillId="5" borderId="28" xfId="0" applyFont="1" applyFill="1" applyBorder="1" applyAlignment="1" applyProtection="1">
      <alignment horizontal="left" vertical="center" wrapText="1"/>
    </xf>
    <xf numFmtId="0" fontId="9" fillId="2" borderId="46" xfId="0" applyFont="1" applyFill="1" applyBorder="1" applyAlignment="1" applyProtection="1">
      <alignment horizontal="left" vertical="center"/>
    </xf>
    <xf numFmtId="0" fontId="9" fillId="2" borderId="9" xfId="0" applyFont="1" applyFill="1" applyBorder="1" applyAlignment="1" applyProtection="1">
      <alignment horizontal="left" vertical="center"/>
    </xf>
    <xf numFmtId="0" fontId="27" fillId="11" borderId="46" xfId="0" applyFont="1" applyFill="1" applyBorder="1" applyAlignment="1">
      <alignment horizontal="center"/>
    </xf>
    <xf numFmtId="0" fontId="27" fillId="11" borderId="9" xfId="0" applyFont="1" applyFill="1" applyBorder="1" applyAlignment="1">
      <alignment horizontal="center"/>
    </xf>
    <xf numFmtId="0" fontId="8" fillId="11" borderId="46" xfId="0" applyFont="1" applyFill="1" applyBorder="1" applyAlignment="1">
      <alignment horizontal="center"/>
    </xf>
    <xf numFmtId="0" fontId="8" fillId="11" borderId="9" xfId="0" applyFont="1" applyFill="1" applyBorder="1" applyAlignment="1">
      <alignment horizontal="center"/>
    </xf>
    <xf numFmtId="0" fontId="8" fillId="11" borderId="48" xfId="0" applyFont="1" applyFill="1" applyBorder="1" applyAlignment="1">
      <alignment horizontal="center"/>
    </xf>
    <xf numFmtId="0" fontId="25" fillId="11" borderId="46" xfId="0" applyFont="1" applyFill="1" applyBorder="1" applyAlignment="1">
      <alignment horizontal="center"/>
    </xf>
    <xf numFmtId="0" fontId="25" fillId="11" borderId="9" xfId="0" applyFont="1" applyFill="1" applyBorder="1" applyAlignment="1">
      <alignment horizontal="center"/>
    </xf>
    <xf numFmtId="0" fontId="13" fillId="11" borderId="36" xfId="0" applyFont="1" applyFill="1" applyBorder="1" applyAlignment="1">
      <alignment horizontal="left" vertical="top" wrapText="1"/>
    </xf>
    <xf numFmtId="0" fontId="13" fillId="11" borderId="35" xfId="0" applyFont="1" applyFill="1" applyBorder="1" applyAlignment="1">
      <alignment horizontal="left" vertical="top" wrapText="1"/>
    </xf>
    <xf numFmtId="0" fontId="9" fillId="11" borderId="65" xfId="0" applyFont="1" applyFill="1" applyBorder="1" applyAlignment="1">
      <alignment horizontal="left" wrapText="1"/>
    </xf>
    <xf numFmtId="0" fontId="9" fillId="11" borderId="43" xfId="0" applyFont="1" applyFill="1" applyBorder="1" applyAlignment="1">
      <alignment horizontal="left" wrapText="1"/>
    </xf>
    <xf numFmtId="0" fontId="31" fillId="0" borderId="46" xfId="0" applyFont="1" applyBorder="1" applyAlignment="1">
      <alignment horizontal="center" wrapText="1"/>
    </xf>
    <xf numFmtId="0" fontId="31" fillId="0" borderId="51" xfId="0" applyFont="1" applyBorder="1" applyAlignment="1">
      <alignment horizontal="center" wrapText="1"/>
    </xf>
    <xf numFmtId="0" fontId="14" fillId="2" borderId="51" xfId="0" applyFont="1" applyFill="1" applyBorder="1" applyAlignment="1" applyProtection="1">
      <alignment horizontal="left" vertical="center"/>
    </xf>
    <xf numFmtId="0" fontId="14" fillId="2" borderId="62" xfId="0" applyFont="1" applyFill="1" applyBorder="1" applyAlignment="1" applyProtection="1">
      <alignment horizontal="left" vertical="center"/>
    </xf>
    <xf numFmtId="0" fontId="8" fillId="2" borderId="10" xfId="0" applyFont="1" applyFill="1" applyBorder="1" applyAlignment="1">
      <alignment horizontal="left" vertical="center"/>
    </xf>
    <xf numFmtId="0" fontId="8" fillId="2" borderId="4" xfId="0" applyFont="1" applyFill="1" applyBorder="1" applyAlignment="1">
      <alignment horizontal="right"/>
    </xf>
    <xf numFmtId="0" fontId="8" fillId="2" borderId="0" xfId="0" applyFont="1" applyFill="1" applyAlignment="1">
      <alignment horizontal="right"/>
    </xf>
    <xf numFmtId="0" fontId="9" fillId="0" borderId="19" xfId="0" applyFont="1" applyBorder="1" applyAlignment="1">
      <alignment horizontal="center" wrapText="1"/>
    </xf>
    <xf numFmtId="0" fontId="9" fillId="0" borderId="24" xfId="0" applyFont="1" applyBorder="1" applyAlignment="1">
      <alignment horizontal="center" wrapText="1"/>
    </xf>
    <xf numFmtId="0" fontId="9" fillId="0" borderId="20" xfId="0" applyFont="1" applyBorder="1" applyAlignment="1">
      <alignment horizontal="center" wrapText="1"/>
    </xf>
    <xf numFmtId="0" fontId="9" fillId="0" borderId="25" xfId="0" applyFont="1" applyBorder="1" applyAlignment="1">
      <alignment horizontal="center" wrapText="1"/>
    </xf>
    <xf numFmtId="0" fontId="9" fillId="0" borderId="34" xfId="0" applyFont="1" applyBorder="1" applyAlignment="1">
      <alignment horizontal="center" wrapText="1"/>
    </xf>
    <xf numFmtId="0" fontId="9" fillId="0" borderId="35" xfId="0" applyFont="1" applyBorder="1" applyAlignment="1">
      <alignment horizontal="center" wrapText="1"/>
    </xf>
    <xf numFmtId="0" fontId="8" fillId="0" borderId="20" xfId="0" applyFont="1" applyBorder="1" applyAlignment="1">
      <alignment horizontal="center"/>
    </xf>
    <xf numFmtId="0" fontId="8" fillId="0" borderId="25" xfId="0" applyFont="1" applyBorder="1" applyAlignment="1">
      <alignment horizontal="center"/>
    </xf>
    <xf numFmtId="0" fontId="8" fillId="0" borderId="21" xfId="0" applyFont="1" applyBorder="1" applyAlignment="1">
      <alignment horizontal="center"/>
    </xf>
    <xf numFmtId="0" fontId="8" fillId="0" borderId="26" xfId="0" applyFont="1" applyBorder="1" applyAlignment="1">
      <alignment horizontal="center"/>
    </xf>
    <xf numFmtId="0" fontId="31" fillId="0" borderId="30" xfId="0" applyFont="1" applyBorder="1" applyAlignment="1">
      <alignment horizontal="center" wrapText="1"/>
    </xf>
    <xf numFmtId="0" fontId="31" fillId="0" borderId="31" xfId="0" applyFont="1" applyBorder="1" applyAlignment="1">
      <alignment horizontal="center" wrapText="1"/>
    </xf>
    <xf numFmtId="0" fontId="8" fillId="0" borderId="28" xfId="0" applyFont="1" applyBorder="1" applyAlignment="1">
      <alignment horizontal="center"/>
    </xf>
    <xf numFmtId="0" fontId="8" fillId="0" borderId="29" xfId="0" applyFont="1" applyBorder="1" applyAlignment="1">
      <alignment horizontal="center"/>
    </xf>
    <xf numFmtId="0" fontId="8" fillId="0" borderId="24" xfId="0" applyFont="1" applyBorder="1" applyAlignment="1">
      <alignment horizontal="center" wrapText="1"/>
    </xf>
    <xf numFmtId="0" fontId="8" fillId="0" borderId="25" xfId="0" applyFont="1" applyBorder="1" applyAlignment="1">
      <alignment horizontal="center" wrapText="1"/>
    </xf>
    <xf numFmtId="0" fontId="8" fillId="0" borderId="26" xfId="0" applyFont="1" applyBorder="1" applyAlignment="1">
      <alignment horizontal="center" wrapText="1"/>
    </xf>
    <xf numFmtId="0" fontId="8" fillId="0" borderId="12" xfId="0" applyFont="1" applyBorder="1" applyAlignment="1">
      <alignment horizontal="center" wrapText="1"/>
    </xf>
    <xf numFmtId="0" fontId="8" fillId="0" borderId="23" xfId="0" applyFont="1" applyBorder="1" applyAlignment="1">
      <alignment horizontal="center" wrapText="1"/>
    </xf>
    <xf numFmtId="2" fontId="24" fillId="0" borderId="0" xfId="1" applyNumberFormat="1" applyFill="1" applyBorder="1" applyAlignment="1" applyProtection="1">
      <alignment horizontal="left" vertical="top"/>
    </xf>
    <xf numFmtId="0" fontId="31" fillId="0" borderId="69" xfId="0" applyFont="1" applyBorder="1" applyAlignment="1">
      <alignment horizontal="left" wrapText="1"/>
    </xf>
    <xf numFmtId="0" fontId="31" fillId="0" borderId="64" xfId="0" applyFont="1" applyBorder="1" applyAlignment="1">
      <alignment horizontal="left" wrapText="1"/>
    </xf>
    <xf numFmtId="0" fontId="8" fillId="0" borderId="70" xfId="0" applyFont="1" applyBorder="1" applyAlignment="1">
      <alignment horizontal="left" vertical="top" wrapText="1"/>
    </xf>
    <xf numFmtId="0" fontId="8" fillId="0" borderId="64" xfId="0" applyFont="1" applyBorder="1" applyAlignment="1">
      <alignment horizontal="left" vertical="top" wrapText="1"/>
    </xf>
    <xf numFmtId="0" fontId="9" fillId="0" borderId="46" xfId="0" applyFont="1" applyBorder="1" applyAlignment="1">
      <alignment horizontal="center"/>
    </xf>
    <xf numFmtId="0" fontId="9" fillId="0" borderId="48" xfId="0" applyFont="1" applyBorder="1" applyAlignment="1">
      <alignment horizontal="center"/>
    </xf>
    <xf numFmtId="0" fontId="9" fillId="0" borderId="1" xfId="0" applyFont="1" applyBorder="1" applyAlignment="1">
      <alignment horizontal="center" wrapText="1"/>
    </xf>
    <xf numFmtId="0" fontId="9" fillId="0" borderId="3" xfId="0" applyFont="1" applyBorder="1" applyAlignment="1">
      <alignment horizontal="center" wrapText="1"/>
    </xf>
    <xf numFmtId="0" fontId="9" fillId="0" borderId="6" xfId="0" applyFont="1" applyBorder="1" applyAlignment="1">
      <alignment horizontal="center" wrapText="1"/>
    </xf>
    <xf numFmtId="0" fontId="9" fillId="0" borderId="8" xfId="0" applyFont="1" applyBorder="1" applyAlignment="1">
      <alignment horizontal="center" wrapText="1"/>
    </xf>
    <xf numFmtId="0" fontId="8" fillId="0" borderId="19" xfId="0" applyFont="1" applyBorder="1" applyAlignment="1">
      <alignment horizontal="center"/>
    </xf>
    <xf numFmtId="0" fontId="8" fillId="0" borderId="22" xfId="0" applyFont="1" applyBorder="1" applyAlignment="1">
      <alignment horizontal="center"/>
    </xf>
    <xf numFmtId="0" fontId="8" fillId="0" borderId="12" xfId="0" applyFont="1" applyBorder="1" applyAlignment="1">
      <alignment horizontal="center"/>
    </xf>
    <xf numFmtId="0" fontId="8" fillId="0" borderId="21" xfId="0" applyFont="1" applyBorder="1" applyAlignment="1">
      <alignment horizontal="center" wrapText="1"/>
    </xf>
    <xf numFmtId="0" fontId="8" fillId="0" borderId="0" xfId="0" applyFont="1" applyFill="1" applyBorder="1" applyAlignment="1" applyProtection="1">
      <alignment horizontal="left" vertical="top"/>
    </xf>
    <xf numFmtId="2" fontId="24" fillId="0" borderId="0" xfId="1" applyNumberFormat="1" applyFill="1" applyBorder="1" applyAlignment="1" applyProtection="1">
      <alignment horizontal="left" vertical="center"/>
    </xf>
    <xf numFmtId="0" fontId="7" fillId="2" borderId="10" xfId="0" applyFont="1" applyFill="1" applyBorder="1" applyAlignment="1" applyProtection="1">
      <alignment horizontal="left" vertical="center" wrapText="1"/>
    </xf>
    <xf numFmtId="0" fontId="9" fillId="2" borderId="0" xfId="0" applyFont="1" applyFill="1" applyBorder="1" applyAlignment="1">
      <alignment horizontal="center" vertical="top" wrapText="1"/>
    </xf>
    <xf numFmtId="0" fontId="8" fillId="8" borderId="34" xfId="0" applyFont="1" applyFill="1" applyBorder="1" applyAlignment="1" applyProtection="1">
      <alignment horizontal="left" vertical="top" wrapText="1"/>
    </xf>
    <xf numFmtId="0" fontId="8" fillId="8" borderId="35" xfId="0" applyFont="1" applyFill="1" applyBorder="1" applyAlignment="1" applyProtection="1">
      <alignment horizontal="left" vertical="top" wrapText="1"/>
    </xf>
    <xf numFmtId="0" fontId="8" fillId="8" borderId="19" xfId="0" applyFont="1" applyFill="1" applyBorder="1" applyAlignment="1" applyProtection="1">
      <alignment horizontal="center" vertical="top" wrapText="1"/>
    </xf>
    <xf numFmtId="0" fontId="8" fillId="8" borderId="24" xfId="0" applyFont="1" applyFill="1" applyBorder="1" applyAlignment="1" applyProtection="1">
      <alignment horizontal="center" vertical="top" wrapText="1"/>
    </xf>
    <xf numFmtId="0" fontId="8" fillId="8" borderId="20" xfId="0" applyFont="1" applyFill="1" applyBorder="1" applyAlignment="1" applyProtection="1">
      <alignment horizontal="center" vertical="top" wrapText="1"/>
    </xf>
    <xf numFmtId="0" fontId="8" fillId="8" borderId="25" xfId="0" applyFont="1" applyFill="1" applyBorder="1" applyAlignment="1" applyProtection="1">
      <alignment horizontal="center" vertical="top" wrapText="1"/>
    </xf>
    <xf numFmtId="0" fontId="8" fillId="8" borderId="21" xfId="0" applyFont="1" applyFill="1" applyBorder="1" applyAlignment="1" applyProtection="1">
      <alignment horizontal="center" vertical="top" wrapText="1"/>
    </xf>
    <xf numFmtId="0" fontId="8" fillId="8" borderId="26" xfId="0" applyFont="1" applyFill="1" applyBorder="1" applyAlignment="1" applyProtection="1">
      <alignment horizontal="center" vertical="top" wrapText="1"/>
    </xf>
    <xf numFmtId="0" fontId="14" fillId="2" borderId="4" xfId="0" applyFont="1" applyFill="1" applyBorder="1" applyAlignment="1" applyProtection="1">
      <alignment horizontal="center"/>
    </xf>
    <xf numFmtId="0" fontId="14" fillId="2" borderId="0" xfId="0" applyFont="1" applyFill="1" applyBorder="1" applyAlignment="1" applyProtection="1">
      <alignment horizontal="center"/>
    </xf>
    <xf numFmtId="0" fontId="33" fillId="8" borderId="52" xfId="0" applyFont="1" applyFill="1" applyBorder="1" applyAlignment="1" applyProtection="1">
      <alignment horizontal="left" vertical="center"/>
    </xf>
    <xf numFmtId="0" fontId="33" fillId="8" borderId="29" xfId="0" applyFont="1" applyFill="1" applyBorder="1" applyAlignment="1" applyProtection="1">
      <alignment horizontal="left" vertical="center"/>
    </xf>
    <xf numFmtId="0" fontId="33" fillId="5" borderId="46" xfId="0" applyFont="1" applyFill="1" applyBorder="1" applyAlignment="1" applyProtection="1">
      <alignment horizontal="left" vertical="center"/>
    </xf>
    <xf numFmtId="0" fontId="33" fillId="5" borderId="28" xfId="0" applyFont="1" applyFill="1" applyBorder="1" applyAlignment="1" applyProtection="1">
      <alignment horizontal="left" vertical="center"/>
    </xf>
    <xf numFmtId="0" fontId="44" fillId="5" borderId="51" xfId="0" applyFont="1" applyFill="1" applyBorder="1" applyAlignment="1" applyProtection="1">
      <alignment horizontal="left" vertical="center"/>
    </xf>
    <xf numFmtId="0" fontId="44" fillId="5" borderId="13" xfId="0" applyFont="1" applyFill="1" applyBorder="1" applyAlignment="1" applyProtection="1">
      <alignment horizontal="left" vertical="center"/>
    </xf>
    <xf numFmtId="0" fontId="41" fillId="2" borderId="0" xfId="0" applyFont="1" applyFill="1" applyBorder="1" applyAlignment="1" applyProtection="1">
      <alignment horizontal="center" vertical="center" wrapText="1"/>
    </xf>
    <xf numFmtId="0" fontId="9" fillId="2" borderId="48" xfId="0" applyFont="1" applyFill="1" applyBorder="1" applyAlignment="1" applyProtection="1">
      <alignment horizontal="left" vertical="center"/>
    </xf>
    <xf numFmtId="0" fontId="43" fillId="5" borderId="22" xfId="0" applyFont="1" applyFill="1" applyBorder="1" applyAlignment="1" applyProtection="1">
      <alignment horizontal="left" vertical="center"/>
    </xf>
    <xf numFmtId="0" fontId="43" fillId="5" borderId="12" xfId="0" applyFont="1" applyFill="1" applyBorder="1" applyAlignment="1" applyProtection="1">
      <alignment horizontal="left" vertical="center"/>
    </xf>
    <xf numFmtId="0" fontId="33" fillId="8" borderId="24" xfId="0" applyFont="1" applyFill="1" applyBorder="1" applyAlignment="1" applyProtection="1">
      <alignment horizontal="left" vertical="center"/>
    </xf>
    <xf numFmtId="0" fontId="33" fillId="8" borderId="25" xfId="0" applyFont="1" applyFill="1" applyBorder="1" applyAlignment="1" applyProtection="1">
      <alignment horizontal="left" vertical="center"/>
    </xf>
    <xf numFmtId="0" fontId="8" fillId="11" borderId="46" xfId="0" applyFont="1" applyFill="1" applyBorder="1" applyAlignment="1" applyProtection="1">
      <alignment horizontal="left" vertical="center"/>
    </xf>
    <xf numFmtId="0" fontId="8" fillId="11" borderId="9" xfId="0" applyFont="1" applyFill="1" applyBorder="1" applyAlignment="1" applyProtection="1">
      <alignment horizontal="left" vertical="center"/>
    </xf>
    <xf numFmtId="0" fontId="8" fillId="11" borderId="48" xfId="0" applyFont="1" applyFill="1" applyBorder="1" applyAlignment="1" applyProtection="1">
      <alignment horizontal="left" vertical="center"/>
    </xf>
    <xf numFmtId="0" fontId="8" fillId="11" borderId="52" xfId="0" applyFont="1" applyFill="1" applyBorder="1" applyAlignment="1" applyProtection="1">
      <alignment horizontal="left" vertical="center"/>
    </xf>
    <xf numFmtId="0" fontId="8" fillId="11" borderId="53" xfId="0" applyFont="1" applyFill="1" applyBorder="1" applyAlignment="1" applyProtection="1">
      <alignment horizontal="left" vertical="center"/>
    </xf>
    <xf numFmtId="0" fontId="8" fillId="11" borderId="61" xfId="0" applyFont="1" applyFill="1" applyBorder="1" applyAlignment="1" applyProtection="1">
      <alignment horizontal="left" vertical="center"/>
    </xf>
    <xf numFmtId="0" fontId="9" fillId="11" borderId="37" xfId="0" applyFont="1" applyFill="1" applyBorder="1" applyAlignment="1" applyProtection="1">
      <alignment horizontal="left" vertical="center"/>
    </xf>
    <xf numFmtId="0" fontId="9" fillId="11" borderId="38" xfId="0" applyFont="1" applyFill="1" applyBorder="1" applyAlignment="1" applyProtection="1">
      <alignment horizontal="left" vertical="center"/>
    </xf>
    <xf numFmtId="0" fontId="9" fillId="11" borderId="39" xfId="0" applyFont="1" applyFill="1" applyBorder="1" applyAlignment="1" applyProtection="1">
      <alignment horizontal="left" vertical="center"/>
    </xf>
    <xf numFmtId="0" fontId="9" fillId="2" borderId="52" xfId="0" applyFont="1" applyFill="1" applyBorder="1" applyAlignment="1" applyProtection="1">
      <alignment horizontal="left" vertical="center"/>
    </xf>
    <xf numFmtId="0" fontId="9" fillId="2" borderId="53" xfId="0" applyFont="1" applyFill="1" applyBorder="1" applyAlignment="1" applyProtection="1">
      <alignment horizontal="left" vertical="center"/>
    </xf>
    <xf numFmtId="0" fontId="9" fillId="2" borderId="61" xfId="0" applyFont="1" applyFill="1" applyBorder="1" applyAlignment="1" applyProtection="1">
      <alignment horizontal="left" vertical="center"/>
    </xf>
    <xf numFmtId="0" fontId="9" fillId="2" borderId="37" xfId="0" applyFont="1" applyFill="1" applyBorder="1" applyAlignment="1" applyProtection="1">
      <alignment horizontal="left" vertical="center"/>
    </xf>
    <xf numFmtId="0" fontId="9" fillId="2" borderId="38" xfId="0" applyFont="1" applyFill="1" applyBorder="1" applyAlignment="1" applyProtection="1">
      <alignment horizontal="left" vertical="center"/>
    </xf>
    <xf numFmtId="0" fontId="9" fillId="2" borderId="39" xfId="0" applyFont="1" applyFill="1" applyBorder="1" applyAlignment="1" applyProtection="1">
      <alignment horizontal="left" vertical="center"/>
    </xf>
    <xf numFmtId="0" fontId="8" fillId="11" borderId="46" xfId="0" applyFont="1" applyFill="1" applyBorder="1" applyAlignment="1" applyProtection="1">
      <alignment horizontal="left"/>
    </xf>
    <xf numFmtId="0" fontId="8" fillId="11" borderId="28" xfId="0" applyFont="1" applyFill="1" applyBorder="1" applyAlignment="1" applyProtection="1">
      <alignment horizontal="left"/>
    </xf>
    <xf numFmtId="0" fontId="8" fillId="11" borderId="51" xfId="0" applyFont="1" applyFill="1" applyBorder="1" applyAlignment="1" applyProtection="1">
      <alignment horizontal="left"/>
    </xf>
    <xf numFmtId="0" fontId="8" fillId="11" borderId="13" xfId="0" applyFont="1" applyFill="1" applyBorder="1" applyAlignment="1" applyProtection="1">
      <alignment horizontal="left"/>
    </xf>
    <xf numFmtId="0" fontId="8" fillId="11" borderId="52" xfId="0" applyFont="1" applyFill="1" applyBorder="1" applyAlignment="1" applyProtection="1">
      <alignment horizontal="left"/>
    </xf>
    <xf numFmtId="0" fontId="8" fillId="11" borderId="29" xfId="0" applyFont="1" applyFill="1" applyBorder="1" applyAlignment="1" applyProtection="1">
      <alignment horizontal="left"/>
    </xf>
    <xf numFmtId="0" fontId="8" fillId="11" borderId="58" xfId="0" applyFont="1" applyFill="1" applyBorder="1" applyAlignment="1" applyProtection="1">
      <alignment horizontal="left" vertical="center"/>
    </xf>
    <xf numFmtId="0" fontId="8" fillId="11" borderId="54" xfId="0" applyFont="1" applyFill="1" applyBorder="1" applyAlignment="1" applyProtection="1">
      <alignment horizontal="left" vertical="center"/>
    </xf>
    <xf numFmtId="0" fontId="8" fillId="11" borderId="47" xfId="0" applyFont="1" applyFill="1" applyBorder="1" applyAlignment="1" applyProtection="1">
      <alignment horizontal="left"/>
    </xf>
    <xf numFmtId="0" fontId="8" fillId="11" borderId="18" xfId="0" applyFont="1" applyFill="1" applyBorder="1" applyAlignment="1" applyProtection="1">
      <alignment horizontal="left"/>
    </xf>
    <xf numFmtId="0" fontId="8" fillId="11" borderId="51" xfId="0" applyFont="1" applyFill="1" applyBorder="1" applyAlignment="1" applyProtection="1">
      <alignment horizontal="left" vertical="center"/>
    </xf>
    <xf numFmtId="0" fontId="8" fillId="11" borderId="13" xfId="0" applyFont="1" applyFill="1" applyBorder="1" applyAlignment="1" applyProtection="1">
      <alignment horizontal="left" vertical="center"/>
    </xf>
    <xf numFmtId="0" fontId="8" fillId="11" borderId="29" xfId="0" applyFont="1" applyFill="1" applyBorder="1" applyAlignment="1" applyProtection="1">
      <alignment horizontal="left" vertical="center"/>
    </xf>
    <xf numFmtId="0" fontId="33" fillId="11" borderId="37" xfId="0" applyFont="1" applyFill="1" applyBorder="1" applyAlignment="1">
      <alignment horizontal="left" vertical="center"/>
    </xf>
    <xf numFmtId="0" fontId="33" fillId="11" borderId="38" xfId="0" applyFont="1" applyFill="1" applyBorder="1" applyAlignment="1">
      <alignment horizontal="left" vertical="center"/>
    </xf>
    <xf numFmtId="0" fontId="5" fillId="2" borderId="10" xfId="0" applyFont="1" applyFill="1" applyBorder="1" applyAlignment="1">
      <alignment horizontal="left" vertical="center"/>
    </xf>
    <xf numFmtId="0" fontId="12" fillId="0" borderId="0" xfId="0" applyFont="1" applyFill="1" applyBorder="1" applyAlignment="1" applyProtection="1">
      <alignment horizontal="left" vertical="top"/>
    </xf>
    <xf numFmtId="0" fontId="8" fillId="2" borderId="0" xfId="0" applyFont="1" applyFill="1" applyBorder="1" applyAlignment="1" applyProtection="1">
      <alignment horizontal="left" vertical="top" wrapText="1"/>
    </xf>
    <xf numFmtId="0" fontId="9" fillId="2" borderId="9" xfId="0" applyFont="1" applyFill="1" applyBorder="1" applyAlignment="1" applyProtection="1">
      <alignment horizontal="left" vertical="center" wrapText="1"/>
    </xf>
    <xf numFmtId="0" fontId="15" fillId="2" borderId="10" xfId="0" applyFont="1" applyFill="1" applyBorder="1" applyAlignment="1">
      <alignment horizontal="left" vertical="center"/>
    </xf>
    <xf numFmtId="0" fontId="27" fillId="11" borderId="1" xfId="0" applyFont="1" applyFill="1" applyBorder="1" applyAlignment="1" applyProtection="1">
      <alignment horizontal="center" vertical="center"/>
    </xf>
    <xf numFmtId="0" fontId="27" fillId="11" borderId="2" xfId="0" applyFont="1" applyFill="1" applyBorder="1" applyAlignment="1" applyProtection="1">
      <alignment horizontal="center" vertical="center"/>
    </xf>
    <xf numFmtId="0" fontId="27" fillId="11" borderId="3" xfId="0" applyFont="1" applyFill="1" applyBorder="1" applyAlignment="1" applyProtection="1">
      <alignment horizontal="center" vertical="center"/>
    </xf>
    <xf numFmtId="0" fontId="27" fillId="11" borderId="6" xfId="0" applyFont="1" applyFill="1" applyBorder="1" applyAlignment="1" applyProtection="1">
      <alignment horizontal="center" vertical="center"/>
    </xf>
    <xf numFmtId="0" fontId="27" fillId="11" borderId="7" xfId="0" applyFont="1" applyFill="1" applyBorder="1" applyAlignment="1" applyProtection="1">
      <alignment horizontal="center" vertical="center"/>
    </xf>
    <xf numFmtId="0" fontId="27" fillId="11" borderId="8" xfId="0" applyFont="1" applyFill="1" applyBorder="1" applyAlignment="1" applyProtection="1">
      <alignment horizontal="center" vertical="center"/>
    </xf>
    <xf numFmtId="0" fontId="8" fillId="17" borderId="19" xfId="0" applyFont="1" applyFill="1" applyBorder="1" applyAlignment="1" applyProtection="1">
      <alignment horizontal="center" vertical="center" wrapText="1"/>
    </xf>
    <xf numFmtId="0" fontId="8" fillId="17" borderId="20" xfId="0" applyFont="1" applyFill="1" applyBorder="1" applyAlignment="1" applyProtection="1">
      <alignment horizontal="center" vertical="center" wrapText="1"/>
    </xf>
    <xf numFmtId="0" fontId="8" fillId="17" borderId="21" xfId="0" applyFont="1" applyFill="1" applyBorder="1" applyAlignment="1" applyProtection="1">
      <alignment horizontal="center" vertical="center" wrapText="1"/>
    </xf>
    <xf numFmtId="0" fontId="25" fillId="8" borderId="1" xfId="0" applyFont="1" applyFill="1" applyBorder="1" applyAlignment="1" applyProtection="1">
      <alignment horizontal="center" vertical="center" wrapText="1"/>
    </xf>
    <xf numFmtId="0" fontId="25" fillId="8" borderId="2" xfId="0" applyFont="1" applyFill="1" applyBorder="1" applyAlignment="1" applyProtection="1">
      <alignment horizontal="center" vertical="center" wrapText="1"/>
    </xf>
    <xf numFmtId="0" fontId="25" fillId="8" borderId="3" xfId="0" applyFont="1" applyFill="1" applyBorder="1" applyAlignment="1" applyProtection="1">
      <alignment horizontal="center" vertical="center" wrapText="1"/>
    </xf>
    <xf numFmtId="0" fontId="25" fillId="8" borderId="6" xfId="0" applyFont="1" applyFill="1" applyBorder="1" applyAlignment="1" applyProtection="1">
      <alignment horizontal="center" vertical="center" wrapText="1"/>
    </xf>
    <xf numFmtId="0" fontId="25" fillId="8" borderId="7" xfId="0" applyFont="1" applyFill="1" applyBorder="1" applyAlignment="1" applyProtection="1">
      <alignment horizontal="center" vertical="center" wrapText="1"/>
    </xf>
    <xf numFmtId="0" fontId="25" fillId="8" borderId="8" xfId="0" applyFont="1" applyFill="1" applyBorder="1" applyAlignment="1" applyProtection="1">
      <alignment horizontal="center" vertical="center" wrapText="1"/>
    </xf>
    <xf numFmtId="0" fontId="25" fillId="11" borderId="19" xfId="0" applyFont="1" applyFill="1" applyBorder="1" applyAlignment="1" applyProtection="1">
      <alignment horizontal="center" vertical="center"/>
    </xf>
    <xf numFmtId="0" fontId="25" fillId="11" borderId="20" xfId="0" applyFont="1" applyFill="1" applyBorder="1" applyAlignment="1" applyProtection="1">
      <alignment horizontal="center" vertical="center"/>
    </xf>
    <xf numFmtId="0" fontId="25" fillId="11" borderId="24" xfId="0" applyFont="1" applyFill="1" applyBorder="1" applyAlignment="1" applyProtection="1">
      <alignment horizontal="center" vertical="center"/>
    </xf>
    <xf numFmtId="0" fontId="25" fillId="11" borderId="25" xfId="0" applyFont="1" applyFill="1" applyBorder="1" applyAlignment="1" applyProtection="1">
      <alignment horizontal="center" vertical="center"/>
    </xf>
    <xf numFmtId="0" fontId="8" fillId="11" borderId="47" xfId="0" applyFont="1" applyFill="1" applyBorder="1" applyAlignment="1" applyProtection="1">
      <alignment horizontal="left" vertical="center"/>
    </xf>
    <xf numFmtId="0" fontId="8" fillId="11" borderId="18" xfId="0" applyFont="1" applyFill="1" applyBorder="1" applyAlignment="1" applyProtection="1">
      <alignment horizontal="left" vertical="center"/>
    </xf>
    <xf numFmtId="0" fontId="8" fillId="11" borderId="74" xfId="0" applyFont="1" applyFill="1" applyBorder="1" applyAlignment="1" applyProtection="1">
      <alignment horizontal="left" vertical="center"/>
    </xf>
    <xf numFmtId="0" fontId="8" fillId="8" borderId="51" xfId="0" applyFont="1" applyFill="1" applyBorder="1" applyAlignment="1" applyProtection="1">
      <alignment horizontal="left"/>
    </xf>
    <xf numFmtId="0" fontId="8" fillId="8" borderId="10" xfId="0" applyFont="1" applyFill="1" applyBorder="1" applyAlignment="1" applyProtection="1">
      <alignment horizontal="left"/>
    </xf>
    <xf numFmtId="0" fontId="8" fillId="8" borderId="51" xfId="0" applyFont="1" applyFill="1" applyBorder="1" applyAlignment="1" applyProtection="1">
      <alignment horizontal="left" vertical="top" wrapText="1"/>
    </xf>
    <xf numFmtId="0" fontId="8" fillId="8" borderId="10" xfId="0" applyFont="1" applyFill="1" applyBorder="1" applyAlignment="1" applyProtection="1">
      <alignment horizontal="left" vertical="top" wrapText="1"/>
    </xf>
    <xf numFmtId="0" fontId="8" fillId="8" borderId="47" xfId="0" applyFont="1" applyFill="1" applyBorder="1" applyAlignment="1" applyProtection="1">
      <alignment horizontal="left" vertical="center" wrapText="1"/>
    </xf>
    <xf numFmtId="0" fontId="8" fillId="8" borderId="11" xfId="0" applyFont="1" applyFill="1" applyBorder="1" applyAlignment="1" applyProtection="1">
      <alignment horizontal="left" vertical="center" wrapText="1"/>
    </xf>
    <xf numFmtId="0" fontId="8" fillId="8" borderId="51" xfId="0" applyFont="1" applyFill="1" applyBorder="1" applyAlignment="1" applyProtection="1">
      <alignment horizontal="left" vertical="center" wrapText="1"/>
    </xf>
    <xf numFmtId="0" fontId="8" fillId="8" borderId="10" xfId="0" applyFont="1" applyFill="1" applyBorder="1" applyAlignment="1" applyProtection="1">
      <alignment horizontal="left" vertical="center" wrapText="1"/>
    </xf>
    <xf numFmtId="0" fontId="9" fillId="11" borderId="4" xfId="0" applyFont="1" applyFill="1" applyBorder="1" applyAlignment="1" applyProtection="1">
      <alignment horizontal="center" vertical="center"/>
    </xf>
    <xf numFmtId="0" fontId="9" fillId="11" borderId="0" xfId="0" applyFont="1" applyFill="1" applyBorder="1" applyAlignment="1" applyProtection="1">
      <alignment horizontal="center" vertical="center"/>
    </xf>
    <xf numFmtId="0" fontId="8" fillId="11" borderId="10" xfId="0" applyFont="1" applyFill="1" applyBorder="1" applyAlignment="1" applyProtection="1">
      <alignment horizontal="left" vertical="center"/>
    </xf>
    <xf numFmtId="0" fontId="8" fillId="8" borderId="1" xfId="0" applyFont="1" applyFill="1" applyBorder="1" applyAlignment="1" applyProtection="1">
      <alignment horizontal="left" vertical="top" wrapText="1"/>
    </xf>
    <xf numFmtId="0" fontId="8" fillId="8" borderId="2" xfId="0" applyFont="1" applyFill="1" applyBorder="1" applyAlignment="1" applyProtection="1">
      <alignment horizontal="left" vertical="top" wrapText="1"/>
    </xf>
    <xf numFmtId="0" fontId="8" fillId="8" borderId="3" xfId="0" applyFont="1" applyFill="1" applyBorder="1" applyAlignment="1" applyProtection="1">
      <alignment horizontal="left" vertical="top" wrapText="1"/>
    </xf>
    <xf numFmtId="0" fontId="8" fillId="8" borderId="4" xfId="0" applyFont="1" applyFill="1" applyBorder="1" applyAlignment="1" applyProtection="1">
      <alignment horizontal="left" vertical="top" wrapText="1"/>
    </xf>
    <xf numFmtId="0" fontId="8" fillId="8" borderId="0" xfId="0" applyFont="1" applyFill="1" applyBorder="1" applyAlignment="1" applyProtection="1">
      <alignment horizontal="left" vertical="top" wrapText="1"/>
    </xf>
    <xf numFmtId="0" fontId="8" fillId="8" borderId="5" xfId="0" applyFont="1" applyFill="1" applyBorder="1" applyAlignment="1" applyProtection="1">
      <alignment horizontal="left" vertical="top" wrapText="1"/>
    </xf>
    <xf numFmtId="0" fontId="8" fillId="8" borderId="6" xfId="0" applyFont="1" applyFill="1" applyBorder="1" applyAlignment="1" applyProtection="1">
      <alignment horizontal="left" vertical="top" wrapText="1"/>
    </xf>
    <xf numFmtId="0" fontId="8" fillId="8" borderId="7" xfId="0" applyFont="1" applyFill="1" applyBorder="1" applyAlignment="1" applyProtection="1">
      <alignment horizontal="left" vertical="top" wrapText="1"/>
    </xf>
    <xf numFmtId="0" fontId="8" fillId="8" borderId="8" xfId="0" applyFont="1" applyFill="1" applyBorder="1" applyAlignment="1" applyProtection="1">
      <alignment horizontal="left" vertical="top" wrapText="1"/>
    </xf>
    <xf numFmtId="0" fontId="8" fillId="8" borderId="46" xfId="0" applyFont="1" applyFill="1" applyBorder="1" applyAlignment="1" applyProtection="1">
      <alignment horizontal="left" vertical="center"/>
    </xf>
    <xf numFmtId="0" fontId="8" fillId="8" borderId="9" xfId="0" applyFont="1" applyFill="1" applyBorder="1" applyAlignment="1" applyProtection="1">
      <alignment horizontal="left" vertical="center"/>
    </xf>
    <xf numFmtId="0" fontId="8" fillId="8" borderId="48" xfId="0" applyFont="1" applyFill="1" applyBorder="1" applyAlignment="1" applyProtection="1">
      <alignment horizontal="left" vertical="center"/>
    </xf>
    <xf numFmtId="0" fontId="8" fillId="8" borderId="51" xfId="0" applyFont="1" applyFill="1" applyBorder="1" applyAlignment="1" applyProtection="1">
      <alignment horizontal="left" vertical="center"/>
    </xf>
    <xf numFmtId="0" fontId="8" fillId="8" borderId="10" xfId="0" applyFont="1" applyFill="1" applyBorder="1" applyAlignment="1" applyProtection="1">
      <alignment horizontal="left" vertical="center"/>
    </xf>
    <xf numFmtId="0" fontId="8" fillId="8" borderId="62" xfId="0" applyFont="1" applyFill="1" applyBorder="1" applyAlignment="1" applyProtection="1">
      <alignment horizontal="left" vertical="center"/>
    </xf>
    <xf numFmtId="0" fontId="8" fillId="11" borderId="19" xfId="0" applyFont="1" applyFill="1" applyBorder="1" applyAlignment="1" applyProtection="1">
      <alignment horizontal="center" vertical="center" wrapText="1"/>
    </xf>
    <xf numFmtId="0" fontId="8" fillId="11" borderId="20" xfId="0" applyFont="1" applyFill="1" applyBorder="1" applyAlignment="1" applyProtection="1">
      <alignment horizontal="center" vertical="center" wrapText="1"/>
    </xf>
    <xf numFmtId="0" fontId="8" fillId="11" borderId="21" xfId="0" applyFont="1" applyFill="1" applyBorder="1" applyAlignment="1" applyProtection="1">
      <alignment horizontal="center" vertical="center" wrapText="1"/>
    </xf>
    <xf numFmtId="0" fontId="8" fillId="11" borderId="28" xfId="0" applyFont="1" applyFill="1" applyBorder="1" applyAlignment="1" applyProtection="1">
      <alignment horizontal="left" vertical="center"/>
    </xf>
    <xf numFmtId="0" fontId="9" fillId="17" borderId="37" xfId="0" applyFont="1" applyFill="1" applyBorder="1" applyAlignment="1" applyProtection="1">
      <alignment horizontal="left" vertical="center"/>
    </xf>
    <xf numFmtId="0" fontId="9" fillId="17" borderId="38" xfId="0" applyFont="1" applyFill="1" applyBorder="1" applyAlignment="1" applyProtection="1">
      <alignment horizontal="left" vertical="center"/>
    </xf>
    <xf numFmtId="0" fontId="9" fillId="11" borderId="19" xfId="0" applyFont="1" applyFill="1" applyBorder="1" applyAlignment="1" applyProtection="1">
      <alignment horizontal="left" vertical="center"/>
    </xf>
    <xf numFmtId="0" fontId="9" fillId="11" borderId="20" xfId="0" applyFont="1" applyFill="1" applyBorder="1" applyAlignment="1" applyProtection="1">
      <alignment horizontal="left" vertical="center"/>
    </xf>
    <xf numFmtId="0" fontId="9" fillId="11" borderId="34" xfId="0" applyFont="1" applyFill="1" applyBorder="1" applyAlignment="1" applyProtection="1">
      <alignment horizontal="left" vertical="center"/>
    </xf>
    <xf numFmtId="0" fontId="9" fillId="2" borderId="59" xfId="0" applyFont="1" applyFill="1" applyBorder="1" applyAlignment="1" applyProtection="1">
      <alignment horizontal="left" vertical="center"/>
    </xf>
    <xf numFmtId="0" fontId="9" fillId="2" borderId="14" xfId="0" applyFont="1" applyFill="1" applyBorder="1" applyAlignment="1" applyProtection="1">
      <alignment horizontal="left" vertical="center"/>
    </xf>
    <xf numFmtId="0" fontId="9" fillId="2" borderId="60" xfId="0" applyFont="1" applyFill="1" applyBorder="1" applyAlignment="1" applyProtection="1">
      <alignment horizontal="left" vertical="center"/>
    </xf>
    <xf numFmtId="0" fontId="9" fillId="0" borderId="46" xfId="0" applyFont="1" applyBorder="1" applyAlignment="1" applyProtection="1">
      <alignment horizontal="center"/>
    </xf>
    <xf numFmtId="0" fontId="9" fillId="0" borderId="2" xfId="0" applyFont="1" applyBorder="1" applyAlignment="1" applyProtection="1">
      <alignment horizontal="center"/>
    </xf>
    <xf numFmtId="0" fontId="9" fillId="0" borderId="3" xfId="0" applyFont="1" applyBorder="1" applyAlignment="1" applyProtection="1">
      <alignment horizontal="center"/>
    </xf>
    <xf numFmtId="0" fontId="8" fillId="0" borderId="16" xfId="0" applyFont="1" applyBorder="1" applyAlignment="1" applyProtection="1">
      <alignment horizontal="center"/>
    </xf>
    <xf numFmtId="0" fontId="8" fillId="0" borderId="62" xfId="0" applyFont="1" applyBorder="1" applyAlignment="1" applyProtection="1">
      <alignment horizontal="center"/>
    </xf>
    <xf numFmtId="0" fontId="14" fillId="8" borderId="1" xfId="0" applyFont="1" applyFill="1" applyBorder="1" applyAlignment="1" applyProtection="1">
      <alignment horizontal="center" vertical="center"/>
    </xf>
    <xf numFmtId="0" fontId="14" fillId="8" borderId="3" xfId="0" applyFont="1" applyFill="1" applyBorder="1" applyAlignment="1" applyProtection="1">
      <alignment horizontal="center" vertical="center"/>
    </xf>
    <xf numFmtId="0" fontId="9" fillId="0" borderId="1" xfId="0" applyFont="1" applyBorder="1" applyAlignment="1" applyProtection="1">
      <alignment horizontal="center"/>
    </xf>
    <xf numFmtId="0" fontId="9" fillId="0" borderId="34" xfId="0" applyFont="1" applyBorder="1" applyAlignment="1" applyProtection="1">
      <alignment horizontal="center"/>
    </xf>
    <xf numFmtId="0" fontId="9" fillId="0" borderId="9" xfId="0" applyFont="1" applyBorder="1" applyAlignment="1" applyProtection="1">
      <alignment horizontal="center"/>
    </xf>
    <xf numFmtId="0" fontId="8" fillId="0" borderId="10" xfId="0" applyFont="1" applyBorder="1" applyAlignment="1" applyProtection="1">
      <alignment horizontal="center"/>
    </xf>
    <xf numFmtId="0" fontId="8" fillId="0" borderId="51" xfId="0" applyFont="1" applyBorder="1" applyAlignment="1" applyProtection="1">
      <alignment horizontal="center"/>
    </xf>
    <xf numFmtId="0" fontId="33" fillId="8" borderId="53" xfId="0" applyFont="1" applyFill="1" applyBorder="1" applyAlignment="1" applyProtection="1">
      <alignment horizontal="left" vertical="center"/>
    </xf>
    <xf numFmtId="0" fontId="33" fillId="5" borderId="51" xfId="0" applyFont="1" applyFill="1" applyBorder="1" applyAlignment="1" applyProtection="1">
      <alignment horizontal="left" vertical="center"/>
    </xf>
    <xf numFmtId="0" fontId="33" fillId="5" borderId="10" xfId="0" applyFont="1" applyFill="1" applyBorder="1" applyAlignment="1" applyProtection="1">
      <alignment horizontal="left" vertical="center"/>
    </xf>
    <xf numFmtId="0" fontId="33" fillId="5" borderId="13" xfId="0" applyFont="1" applyFill="1" applyBorder="1" applyAlignment="1" applyProtection="1">
      <alignment horizontal="left" vertical="center"/>
    </xf>
    <xf numFmtId="0" fontId="8" fillId="2" borderId="13" xfId="0" applyFont="1" applyFill="1" applyBorder="1" applyAlignment="1">
      <alignment horizontal="left" vertical="center" wrapText="1"/>
    </xf>
    <xf numFmtId="0" fontId="27" fillId="8" borderId="1" xfId="0" applyFont="1" applyFill="1" applyBorder="1" applyAlignment="1" applyProtection="1">
      <alignment horizontal="center" vertical="center" wrapText="1"/>
    </xf>
    <xf numFmtId="0" fontId="27" fillId="8" borderId="2" xfId="0" applyFont="1" applyFill="1" applyBorder="1" applyAlignment="1" applyProtection="1">
      <alignment horizontal="center" vertical="center" wrapText="1"/>
    </xf>
    <xf numFmtId="0" fontId="27" fillId="8" borderId="3" xfId="0" applyFont="1" applyFill="1" applyBorder="1" applyAlignment="1" applyProtection="1">
      <alignment horizontal="center" vertical="center" wrapText="1"/>
    </xf>
    <xf numFmtId="0" fontId="27" fillId="8" borderId="6" xfId="0" applyFont="1" applyFill="1" applyBorder="1" applyAlignment="1" applyProtection="1">
      <alignment horizontal="center" vertical="center" wrapText="1"/>
    </xf>
    <xf numFmtId="0" fontId="27" fillId="8" borderId="7" xfId="0" applyFont="1" applyFill="1" applyBorder="1" applyAlignment="1" applyProtection="1">
      <alignment horizontal="center" vertical="center" wrapText="1"/>
    </xf>
    <xf numFmtId="0" fontId="27" fillId="8" borderId="8" xfId="0" applyFont="1" applyFill="1" applyBorder="1" applyAlignment="1" applyProtection="1">
      <alignment horizontal="center" vertical="center" wrapText="1"/>
    </xf>
    <xf numFmtId="0" fontId="14" fillId="2" borderId="46" xfId="0" applyFont="1" applyFill="1" applyBorder="1" applyAlignment="1" applyProtection="1">
      <alignment horizontal="left" vertical="center"/>
    </xf>
    <xf numFmtId="0" fontId="14" fillId="2" borderId="48" xfId="0" applyFont="1" applyFill="1" applyBorder="1" applyAlignment="1" applyProtection="1">
      <alignment horizontal="left" vertical="center"/>
    </xf>
    <xf numFmtId="0" fontId="8" fillId="2" borderId="12" xfId="0" applyFont="1" applyFill="1" applyBorder="1" applyAlignment="1" applyProtection="1">
      <alignment horizontal="left" vertical="center" wrapText="1"/>
    </xf>
    <xf numFmtId="0" fontId="8" fillId="2" borderId="12" xfId="0" applyFont="1" applyFill="1" applyBorder="1" applyAlignment="1">
      <alignment horizontal="left" vertical="center" wrapText="1"/>
    </xf>
    <xf numFmtId="0" fontId="33" fillId="9" borderId="52" xfId="0" applyFont="1" applyFill="1" applyBorder="1" applyAlignment="1" applyProtection="1">
      <alignment horizontal="left" vertical="center"/>
    </xf>
    <xf numFmtId="0" fontId="33" fillId="9" borderId="53" xfId="0" applyFont="1" applyFill="1" applyBorder="1" applyAlignment="1" applyProtection="1">
      <alignment horizontal="left" vertical="center"/>
    </xf>
    <xf numFmtId="0" fontId="33" fillId="9" borderId="29" xfId="0" applyFont="1" applyFill="1" applyBorder="1" applyAlignment="1" applyProtection="1">
      <alignment horizontal="left" vertical="center"/>
    </xf>
    <xf numFmtId="0" fontId="8" fillId="2" borderId="13" xfId="0" applyFont="1" applyFill="1" applyBorder="1" applyAlignment="1" applyProtection="1">
      <alignment horizontal="center" vertical="center" wrapText="1"/>
    </xf>
    <xf numFmtId="0" fontId="8" fillId="2" borderId="12" xfId="0" applyFont="1" applyFill="1" applyBorder="1" applyAlignment="1" applyProtection="1">
      <alignment horizontal="center" vertical="center" wrapText="1"/>
    </xf>
    <xf numFmtId="0" fontId="12" fillId="2" borderId="0" xfId="0" applyFont="1" applyFill="1" applyBorder="1" applyAlignment="1" applyProtection="1">
      <alignment horizontal="left" vertical="center"/>
    </xf>
    <xf numFmtId="0" fontId="9" fillId="8" borderId="37" xfId="0" applyFont="1" applyFill="1" applyBorder="1" applyAlignment="1" applyProtection="1">
      <alignment horizontal="left" vertical="center"/>
    </xf>
    <xf numFmtId="0" fontId="9" fillId="8" borderId="38" xfId="0" applyFont="1" applyFill="1" applyBorder="1" applyAlignment="1" applyProtection="1">
      <alignment horizontal="left" vertical="center"/>
    </xf>
    <xf numFmtId="0" fontId="9" fillId="8" borderId="39" xfId="0" applyFont="1" applyFill="1" applyBorder="1" applyAlignment="1" applyProtection="1">
      <alignment horizontal="left" vertical="center"/>
    </xf>
    <xf numFmtId="0" fontId="8" fillId="8" borderId="52" xfId="0" applyFont="1" applyFill="1" applyBorder="1" applyAlignment="1" applyProtection="1">
      <alignment horizontal="left" vertical="center"/>
    </xf>
    <xf numFmtId="0" fontId="8" fillId="8" borderId="53" xfId="0" applyFont="1" applyFill="1" applyBorder="1" applyAlignment="1" applyProtection="1">
      <alignment horizontal="left" vertical="center"/>
    </xf>
    <xf numFmtId="0" fontId="8" fillId="8" borderId="61" xfId="0" applyFont="1" applyFill="1" applyBorder="1" applyAlignment="1" applyProtection="1">
      <alignment horizontal="left" vertical="center"/>
    </xf>
    <xf numFmtId="0" fontId="50" fillId="10" borderId="1" xfId="0" applyFont="1" applyFill="1" applyBorder="1" applyAlignment="1">
      <alignment horizontal="center" vertical="center"/>
    </xf>
    <xf numFmtId="0" fontId="50" fillId="10" borderId="2" xfId="0" applyFont="1" applyFill="1" applyBorder="1" applyAlignment="1">
      <alignment horizontal="center" vertical="center"/>
    </xf>
    <xf numFmtId="0" fontId="50" fillId="10" borderId="3" xfId="0" applyFont="1" applyFill="1" applyBorder="1" applyAlignment="1">
      <alignment horizontal="center" vertical="center"/>
    </xf>
    <xf numFmtId="0" fontId="50" fillId="10" borderId="6" xfId="0" applyFont="1" applyFill="1" applyBorder="1" applyAlignment="1">
      <alignment horizontal="center" vertical="center"/>
    </xf>
    <xf numFmtId="0" fontId="50" fillId="10" borderId="7" xfId="0" applyFont="1" applyFill="1" applyBorder="1" applyAlignment="1">
      <alignment horizontal="center" vertical="center"/>
    </xf>
    <xf numFmtId="0" fontId="50" fillId="10" borderId="8" xfId="0" applyFont="1" applyFill="1" applyBorder="1" applyAlignment="1">
      <alignment horizontal="center" vertical="center"/>
    </xf>
    <xf numFmtId="0" fontId="33" fillId="5" borderId="9" xfId="0" applyFont="1" applyFill="1" applyBorder="1" applyAlignment="1" applyProtection="1">
      <alignment horizontal="left" vertical="center"/>
    </xf>
    <xf numFmtId="0" fontId="33" fillId="8" borderId="51" xfId="0" applyFont="1" applyFill="1" applyBorder="1" applyAlignment="1" applyProtection="1">
      <alignment horizontal="left" vertical="center"/>
    </xf>
    <xf numFmtId="0" fontId="33" fillId="8" borderId="10" xfId="0" applyFont="1" applyFill="1" applyBorder="1" applyAlignment="1" applyProtection="1">
      <alignment horizontal="left" vertical="center"/>
    </xf>
    <xf numFmtId="0" fontId="33" fillId="8" borderId="13" xfId="0" applyFont="1" applyFill="1" applyBorder="1" applyAlignment="1" applyProtection="1">
      <alignment horizontal="left" vertical="center"/>
    </xf>
    <xf numFmtId="0" fontId="33" fillId="9" borderId="46" xfId="0" applyFont="1" applyFill="1" applyBorder="1" applyAlignment="1" applyProtection="1">
      <alignment horizontal="left" vertical="center"/>
    </xf>
    <xf numFmtId="0" fontId="33" fillId="9" borderId="9" xfId="0" applyFont="1" applyFill="1" applyBorder="1" applyAlignment="1" applyProtection="1">
      <alignment horizontal="left" vertical="center"/>
    </xf>
    <xf numFmtId="0" fontId="33" fillId="9" borderId="28" xfId="0" applyFont="1" applyFill="1" applyBorder="1" applyAlignment="1" applyProtection="1">
      <alignment horizontal="left" vertical="center"/>
    </xf>
    <xf numFmtId="0" fontId="0" fillId="0" borderId="0" xfId="0" applyAlignment="1">
      <alignment horizontal="center" vertical="center"/>
    </xf>
    <xf numFmtId="0" fontId="0" fillId="12" borderId="10" xfId="0" applyFill="1" applyBorder="1" applyAlignment="1" applyProtection="1">
      <alignment horizontal="left" vertical="center" wrapText="1"/>
    </xf>
    <xf numFmtId="0" fontId="27" fillId="12" borderId="0" xfId="0" applyFont="1" applyFill="1" applyBorder="1" applyAlignment="1" applyProtection="1">
      <alignment horizontal="center" vertical="center"/>
    </xf>
    <xf numFmtId="0" fontId="27" fillId="12" borderId="2" xfId="0" applyFont="1" applyFill="1" applyBorder="1" applyAlignment="1" applyProtection="1">
      <alignment horizontal="center"/>
    </xf>
    <xf numFmtId="0" fontId="0" fillId="12" borderId="10" xfId="0" applyFont="1" applyFill="1" applyBorder="1" applyAlignment="1" applyProtection="1">
      <alignment horizontal="left" vertical="center" wrapText="1"/>
    </xf>
    <xf numFmtId="0" fontId="31" fillId="8" borderId="0" xfId="0" applyFont="1" applyFill="1" applyBorder="1" applyAlignment="1" applyProtection="1">
      <alignment horizontal="left" vertical="center" wrapText="1"/>
    </xf>
    <xf numFmtId="0" fontId="8" fillId="11" borderId="0" xfId="0" applyFont="1" applyFill="1" applyBorder="1" applyAlignment="1" applyProtection="1">
      <alignment horizontal="right" vertical="center"/>
    </xf>
    <xf numFmtId="0" fontId="9" fillId="18" borderId="0" xfId="0" applyFont="1" applyFill="1" applyBorder="1" applyAlignment="1" applyProtection="1">
      <alignment horizontal="center" vertical="center" wrapText="1"/>
    </xf>
    <xf numFmtId="0" fontId="27" fillId="11" borderId="0" xfId="0" applyFont="1" applyFill="1" applyBorder="1" applyAlignment="1" applyProtection="1">
      <alignment horizontal="center" vertical="center"/>
    </xf>
    <xf numFmtId="0" fontId="27" fillId="11" borderId="2" xfId="0" applyFont="1" applyFill="1" applyBorder="1" applyAlignment="1" applyProtection="1">
      <alignment horizontal="center"/>
    </xf>
    <xf numFmtId="0" fontId="9" fillId="22" borderId="0" xfId="0" applyFont="1" applyFill="1" applyBorder="1" applyAlignment="1" applyProtection="1">
      <alignment horizontal="center" vertical="center" wrapText="1"/>
    </xf>
    <xf numFmtId="0" fontId="0" fillId="12" borderId="53" xfId="0" applyFill="1" applyBorder="1" applyAlignment="1" applyProtection="1">
      <alignment horizontal="left" vertical="center" wrapText="1"/>
    </xf>
    <xf numFmtId="0" fontId="8" fillId="11" borderId="0" xfId="0" applyFont="1" applyFill="1" applyBorder="1" applyAlignment="1" applyProtection="1">
      <alignment horizontal="left" vertical="center" wrapText="1"/>
    </xf>
    <xf numFmtId="0" fontId="8" fillId="12" borderId="0" xfId="0" applyFont="1" applyFill="1" applyBorder="1" applyAlignment="1" applyProtection="1">
      <alignment horizontal="left" vertical="center" wrapText="1"/>
    </xf>
    <xf numFmtId="0" fontId="36" fillId="12" borderId="2" xfId="0" applyFont="1" applyFill="1" applyBorder="1" applyAlignment="1" applyProtection="1">
      <alignment horizontal="center"/>
    </xf>
    <xf numFmtId="0" fontId="36" fillId="11" borderId="2" xfId="0" applyFont="1" applyFill="1" applyBorder="1" applyAlignment="1" applyProtection="1">
      <alignment horizontal="center"/>
    </xf>
    <xf numFmtId="0" fontId="31" fillId="17" borderId="74" xfId="0" applyFont="1" applyFill="1" applyBorder="1" applyAlignment="1" applyProtection="1">
      <alignment horizontal="left" vertical="center" wrapText="1"/>
    </xf>
    <xf numFmtId="0" fontId="31" fillId="17" borderId="0" xfId="0" applyFont="1" applyFill="1" applyBorder="1" applyAlignment="1" applyProtection="1">
      <alignment horizontal="left" vertical="center" wrapText="1"/>
    </xf>
    <xf numFmtId="0" fontId="8" fillId="11" borderId="10" xfId="0" applyFont="1" applyFill="1" applyBorder="1" applyAlignment="1" applyProtection="1">
      <alignment horizontal="left" vertical="center" wrapText="1"/>
    </xf>
    <xf numFmtId="0" fontId="0" fillId="11" borderId="10" xfId="0" applyFont="1" applyFill="1" applyBorder="1" applyAlignment="1" applyProtection="1">
      <alignment horizontal="left" vertical="center" wrapText="1"/>
    </xf>
    <xf numFmtId="0" fontId="0" fillId="0" borderId="0" xfId="0" applyFill="1" applyBorder="1" applyAlignment="1">
      <alignment horizontal="center" vertical="center"/>
    </xf>
  </cellXfs>
  <cellStyles count="2">
    <cellStyle name="Link" xfId="1" builtinId="8"/>
    <cellStyle name="Standard" xfId="0" builtinId="0"/>
  </cellStyles>
  <dxfs count="414">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59996337778862885"/>
      </font>
    </dxf>
    <dxf>
      <font>
        <color theme="3" tint="0.59996337778862885"/>
      </font>
    </dxf>
    <dxf>
      <font>
        <color theme="3" tint="0.59996337778862885"/>
      </font>
    </dxf>
    <dxf>
      <font>
        <color theme="3" tint="0.59996337778862885"/>
      </font>
    </dxf>
    <dxf>
      <font>
        <color theme="3" tint="0.59996337778862885"/>
      </font>
    </dxf>
    <dxf>
      <font>
        <color theme="3" tint="0.59996337778862885"/>
      </font>
    </dxf>
    <dxf>
      <font>
        <color theme="3" tint="0.59996337778862885"/>
      </font>
    </dxf>
    <dxf>
      <font>
        <color theme="3" tint="0.59996337778862885"/>
      </font>
    </dxf>
    <dxf>
      <font>
        <color theme="3" tint="0.59996337778862885"/>
      </font>
    </dxf>
    <dxf>
      <font>
        <color theme="3" tint="0.59996337778862885"/>
      </font>
    </dxf>
    <dxf>
      <font>
        <color theme="3" tint="0.59996337778862885"/>
      </font>
    </dxf>
    <dxf>
      <font>
        <color theme="3" tint="0.59996337778862885"/>
      </font>
    </dxf>
    <dxf>
      <font>
        <color theme="3" tint="0.59996337778862885"/>
      </font>
    </dxf>
    <dxf>
      <font>
        <color theme="3" tint="0.59996337778862885"/>
      </font>
    </dxf>
    <dxf>
      <font>
        <color theme="3" tint="0.59996337778862885"/>
      </font>
    </dxf>
    <dxf>
      <font>
        <color theme="9" tint="0.59996337778862885"/>
      </font>
    </dxf>
    <dxf>
      <font>
        <color theme="8" tint="0.39994506668294322"/>
      </font>
    </dxf>
    <dxf>
      <font>
        <color theme="8" tint="0.39994506668294322"/>
      </font>
    </dxf>
    <dxf>
      <font>
        <color theme="8" tint="0.39994506668294322"/>
      </font>
    </dxf>
    <dxf>
      <font>
        <color theme="8" tint="0.39994506668294322"/>
      </font>
    </dxf>
    <dxf>
      <font>
        <color theme="8" tint="0.39994506668294322"/>
      </font>
    </dxf>
    <dxf>
      <font>
        <color theme="9" tint="0.59996337778862885"/>
      </font>
    </dxf>
    <dxf>
      <font>
        <color theme="8" tint="0.39994506668294322"/>
      </font>
    </dxf>
    <dxf>
      <font>
        <color theme="8" tint="0.39994506668294322"/>
      </font>
    </dxf>
    <dxf>
      <font>
        <color theme="8" tint="0.39994506668294322"/>
      </font>
    </dxf>
    <dxf>
      <font>
        <color theme="8" tint="0.3999450666829432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5" tint="0.79998168889431442"/>
      </font>
    </dxf>
    <dxf>
      <font>
        <color theme="5" tint="0.79998168889431442"/>
      </font>
    </dxf>
    <dxf>
      <font>
        <color theme="5" tint="0.79998168889431442"/>
      </font>
    </dxf>
    <dxf>
      <font>
        <color theme="5" tint="0.79998168889431442"/>
      </font>
    </dxf>
    <dxf>
      <font>
        <color theme="5" tint="0.79998168889431442"/>
      </font>
    </dxf>
    <dxf>
      <font>
        <color theme="5" tint="0.79998168889431442"/>
      </font>
    </dxf>
    <dxf>
      <font>
        <color theme="5" tint="0.79998168889431442"/>
      </font>
    </dxf>
    <dxf>
      <font>
        <color theme="5" tint="0.79998168889431442"/>
      </font>
    </dxf>
    <dxf>
      <font>
        <color theme="5" tint="0.79998168889431442"/>
      </font>
    </dxf>
    <dxf>
      <font>
        <color theme="5" tint="0.79998168889431442"/>
      </font>
    </dxf>
    <dxf>
      <font>
        <color theme="5" tint="0.79998168889431442"/>
      </font>
    </dxf>
    <dxf>
      <font>
        <color theme="5" tint="0.79998168889431442"/>
      </font>
    </dxf>
    <dxf>
      <font>
        <color theme="5" tint="0.79998168889431442"/>
      </font>
    </dxf>
    <dxf>
      <font>
        <color theme="5" tint="0.79998168889431442"/>
      </font>
    </dxf>
    <dxf>
      <font>
        <color theme="4" tint="0.79998168889431442"/>
      </font>
    </dxf>
    <dxf>
      <font>
        <color theme="1"/>
      </font>
    </dxf>
    <dxf>
      <font>
        <color auto="1"/>
      </font>
    </dxf>
    <dxf>
      <font>
        <color theme="1"/>
      </font>
    </dxf>
    <dxf>
      <font>
        <color theme="5" tint="0.59996337778862885"/>
      </font>
    </dxf>
    <dxf>
      <fill>
        <patternFill>
          <bgColor rgb="FFFF0000"/>
        </patternFill>
      </fill>
    </dxf>
    <dxf>
      <fill>
        <patternFill>
          <bgColor rgb="FFFFC000"/>
        </patternFill>
      </fill>
    </dxf>
    <dxf>
      <fill>
        <patternFill>
          <bgColor rgb="FF92D050"/>
        </patternFill>
      </fill>
    </dxf>
    <dxf>
      <font>
        <color theme="4" tint="0.79998168889431442"/>
      </font>
    </dxf>
    <dxf>
      <font>
        <color theme="1"/>
      </font>
    </dxf>
    <dxf>
      <font>
        <color auto="1"/>
      </font>
    </dxf>
    <dxf>
      <font>
        <color theme="0" tint="-0.24994659260841701"/>
      </font>
    </dxf>
    <dxf>
      <font>
        <color theme="4" tint="0.79998168889431442"/>
      </font>
    </dxf>
    <dxf>
      <font>
        <color theme="1"/>
      </font>
    </dxf>
    <dxf>
      <font>
        <color auto="1"/>
      </font>
    </dxf>
    <dxf>
      <font>
        <color theme="9" tint="0.59996337778862885"/>
      </font>
    </dxf>
    <dxf>
      <font>
        <color theme="1"/>
      </font>
    </dxf>
    <dxf>
      <font>
        <color auto="1"/>
      </font>
    </dxf>
    <dxf>
      <font>
        <color theme="0" tint="-0.24994659260841701"/>
      </font>
    </dxf>
    <dxf>
      <font>
        <color theme="9" tint="0.59996337778862885"/>
      </font>
    </dxf>
    <dxf>
      <font>
        <color theme="1"/>
      </font>
    </dxf>
    <dxf>
      <font>
        <color auto="1"/>
      </font>
    </dxf>
    <dxf>
      <fill>
        <patternFill>
          <bgColor rgb="FFFF0000"/>
        </patternFill>
      </fill>
    </dxf>
    <dxf>
      <fill>
        <patternFill>
          <bgColor rgb="FFFFC000"/>
        </patternFill>
      </fill>
    </dxf>
    <dxf>
      <font>
        <color auto="1"/>
      </font>
      <fill>
        <patternFill>
          <bgColor rgb="FF92D050"/>
        </patternFill>
      </fill>
    </dxf>
    <dxf>
      <font>
        <color theme="0" tint="-0.14996795556505021"/>
      </font>
    </dxf>
    <dxf>
      <font>
        <color theme="0" tint="-0.14996795556505021"/>
      </font>
    </dxf>
    <dxf>
      <font>
        <color theme="1"/>
      </font>
    </dxf>
    <dxf>
      <font>
        <color theme="5" tint="0.59996337778862885"/>
      </font>
    </dxf>
    <dxf>
      <font>
        <color theme="1"/>
      </font>
    </dxf>
    <dxf>
      <font>
        <color theme="5" tint="0.59996337778862885"/>
      </font>
    </dxf>
    <dxf>
      <font>
        <color theme="1"/>
      </font>
    </dxf>
    <dxf>
      <font>
        <color theme="5" tint="0.59996337778862885"/>
      </font>
    </dxf>
    <dxf>
      <font>
        <color theme="1"/>
      </font>
    </dxf>
    <dxf>
      <font>
        <color theme="5" tint="0.59996337778862885"/>
      </font>
    </dxf>
    <dxf>
      <fill>
        <patternFill>
          <bgColor rgb="FFFFC000"/>
        </patternFill>
      </fill>
    </dxf>
    <dxf>
      <fill>
        <patternFill>
          <bgColor rgb="FF92D050"/>
        </patternFill>
      </fill>
    </dxf>
    <dxf>
      <fill>
        <patternFill>
          <bgColor rgb="FFFF0000"/>
        </patternFill>
      </fill>
    </dxf>
    <dxf>
      <font>
        <strike val="0"/>
        <color auto="1"/>
      </font>
      <fill>
        <patternFill>
          <bgColor theme="0" tint="-0.14996795556505021"/>
        </patternFill>
      </fill>
    </dxf>
    <dxf>
      <fill>
        <patternFill>
          <bgColor rgb="FFFF0000"/>
        </patternFill>
      </fill>
    </dxf>
    <dxf>
      <fill>
        <patternFill>
          <bgColor rgb="FFFFC000"/>
        </patternFill>
      </fill>
    </dxf>
    <dxf>
      <font>
        <color auto="1"/>
      </font>
      <fill>
        <patternFill>
          <bgColor rgb="FF92D050"/>
        </patternFill>
      </fill>
    </dxf>
    <dxf>
      <font>
        <color theme="0" tint="-0.14996795556505021"/>
      </font>
    </dxf>
    <dxf>
      <font>
        <color theme="0" tint="-0.14996795556505021"/>
      </font>
    </dxf>
    <dxf>
      <font>
        <color theme="0" tint="-0.14996795556505021"/>
      </font>
    </dxf>
    <dxf>
      <font>
        <color theme="1"/>
      </font>
    </dxf>
    <dxf>
      <font>
        <color theme="5" tint="0.59996337778862885"/>
      </font>
    </dxf>
    <dxf>
      <font>
        <color theme="1"/>
      </font>
    </dxf>
    <dxf>
      <font>
        <color theme="5" tint="0.59996337778862885"/>
      </font>
    </dxf>
    <dxf>
      <font>
        <color theme="1"/>
      </font>
    </dxf>
    <dxf>
      <font>
        <color theme="5" tint="0.59996337778862885"/>
      </font>
    </dxf>
    <dxf>
      <font>
        <color theme="1"/>
      </font>
    </dxf>
    <dxf>
      <font>
        <color theme="5" tint="0.59996337778862885"/>
      </font>
    </dxf>
    <dxf>
      <fill>
        <patternFill>
          <bgColor rgb="FFFF0000"/>
        </patternFill>
      </fill>
    </dxf>
    <dxf>
      <fill>
        <patternFill>
          <bgColor rgb="FFFFC000"/>
        </patternFill>
      </fill>
    </dxf>
    <dxf>
      <font>
        <color auto="1"/>
      </font>
      <fill>
        <patternFill>
          <bgColor rgb="FF92D050"/>
        </patternFill>
      </fill>
    </dxf>
    <dxf>
      <font>
        <color theme="0" tint="-0.14996795556505021"/>
      </font>
      <fill>
        <patternFill>
          <bgColor theme="0" tint="-0.14996795556505021"/>
        </patternFill>
      </fill>
    </dxf>
    <dxf>
      <fill>
        <patternFill>
          <bgColor rgb="FFFF0000"/>
        </patternFill>
      </fill>
    </dxf>
    <dxf>
      <fill>
        <patternFill>
          <bgColor rgb="FFFFC000"/>
        </patternFill>
      </fill>
    </dxf>
    <dxf>
      <font>
        <color auto="1"/>
      </font>
      <fill>
        <patternFill>
          <bgColor rgb="FF92D050"/>
        </patternFill>
      </fill>
    </dxf>
    <dxf>
      <font>
        <color theme="0" tint="-0.14996795556505021"/>
      </font>
      <fill>
        <patternFill>
          <bgColor theme="0" tint="-0.14996795556505021"/>
        </patternFill>
      </fill>
    </dxf>
    <dxf>
      <fill>
        <patternFill>
          <bgColor rgb="FFFF0000"/>
        </patternFill>
      </fill>
    </dxf>
    <dxf>
      <fill>
        <patternFill>
          <bgColor rgb="FFFFC000"/>
        </patternFill>
      </fill>
    </dxf>
    <dxf>
      <font>
        <color auto="1"/>
      </font>
      <fill>
        <patternFill>
          <bgColor rgb="FF92D050"/>
        </patternFill>
      </fill>
    </dxf>
    <dxf>
      <font>
        <color theme="0" tint="-0.14996795556505021"/>
      </font>
      <fill>
        <patternFill>
          <bgColor theme="0" tint="-0.14996795556505021"/>
        </patternFill>
      </fill>
    </dxf>
    <dxf>
      <font>
        <color theme="0" tint="-0.14996795556505021"/>
      </font>
    </dxf>
    <dxf>
      <font>
        <color theme="0" tint="-0.14996795556505021"/>
      </font>
    </dxf>
    <dxf>
      <font>
        <color theme="0" tint="-0.14996795556505021"/>
      </font>
    </dxf>
    <dxf>
      <font>
        <color theme="0" tint="-0.24994659260841701"/>
      </font>
    </dxf>
    <dxf>
      <font>
        <color theme="4" tint="0.79998168889431442"/>
      </font>
    </dxf>
    <dxf>
      <font>
        <color theme="1"/>
      </font>
    </dxf>
    <dxf>
      <font>
        <color auto="1"/>
      </font>
    </dxf>
    <dxf>
      <font>
        <color theme="1"/>
      </font>
    </dxf>
    <dxf>
      <font>
        <color theme="5" tint="0.59996337778862885"/>
      </font>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0000"/>
        </patternFill>
      </fill>
    </dxf>
    <dxf>
      <font>
        <strike val="0"/>
        <color auto="1"/>
      </font>
      <fill>
        <patternFill>
          <bgColor theme="0" tint="-0.14996795556505021"/>
        </patternFill>
      </fill>
    </dxf>
    <dxf>
      <font>
        <color theme="4" tint="0.79998168889431442"/>
      </font>
    </dxf>
    <dxf>
      <font>
        <color theme="1"/>
      </font>
    </dxf>
    <dxf>
      <font>
        <color auto="1"/>
      </font>
    </dxf>
    <dxf>
      <font>
        <color theme="0" tint="-0.24994659260841701"/>
      </font>
    </dxf>
    <dxf>
      <font>
        <color theme="9" tint="0.59996337778862885"/>
      </font>
    </dxf>
    <dxf>
      <font>
        <color theme="1"/>
      </font>
    </dxf>
    <dxf>
      <font>
        <color auto="1"/>
      </font>
    </dxf>
    <dxf>
      <font>
        <color theme="4" tint="0.79998168889431442"/>
      </font>
    </dxf>
    <dxf>
      <font>
        <color theme="1"/>
      </font>
    </dxf>
    <dxf>
      <font>
        <color auto="1"/>
      </font>
    </dxf>
    <dxf>
      <font>
        <color theme="1"/>
      </font>
    </dxf>
    <dxf>
      <font>
        <color theme="5" tint="0.59996337778862885"/>
      </font>
    </dxf>
    <dxf>
      <font>
        <color theme="1"/>
      </font>
    </dxf>
    <dxf>
      <font>
        <color theme="5" tint="0.59996337778862885"/>
      </font>
    </dxf>
    <dxf>
      <font>
        <color theme="1"/>
      </font>
    </dxf>
    <dxf>
      <font>
        <color theme="5" tint="0.59996337778862885"/>
      </font>
    </dxf>
    <dxf>
      <font>
        <color theme="1"/>
      </font>
    </dxf>
    <dxf>
      <font>
        <color theme="5" tint="0.59996337778862885"/>
      </font>
    </dxf>
    <dxf>
      <font>
        <color theme="1"/>
      </font>
    </dxf>
    <dxf>
      <font>
        <color theme="5" tint="0.59996337778862885"/>
      </font>
    </dxf>
    <dxf>
      <font>
        <color theme="1"/>
      </font>
    </dxf>
    <dxf>
      <font>
        <color theme="5" tint="0.59996337778862885"/>
      </font>
    </dxf>
    <dxf>
      <font>
        <color theme="1"/>
      </font>
    </dxf>
    <dxf>
      <font>
        <color theme="5" tint="0.59996337778862885"/>
      </font>
    </dxf>
    <dxf>
      <font>
        <color theme="1"/>
      </font>
    </dxf>
    <dxf>
      <font>
        <color theme="5" tint="0.59996337778862885"/>
      </font>
    </dxf>
    <dxf>
      <font>
        <color theme="0" tint="-0.14996795556505021"/>
      </font>
    </dxf>
    <dxf>
      <fill>
        <patternFill>
          <bgColor rgb="FFFF0000"/>
        </patternFill>
      </fill>
    </dxf>
    <dxf>
      <fill>
        <patternFill>
          <bgColor rgb="FFFFC000"/>
        </patternFill>
      </fill>
    </dxf>
    <dxf>
      <font>
        <color auto="1"/>
      </font>
      <fill>
        <patternFill>
          <bgColor rgb="FF92D050"/>
        </patternFill>
      </fill>
    </dxf>
    <dxf>
      <font>
        <color theme="0" tint="-0.14996795556505021"/>
      </font>
      <fill>
        <patternFill>
          <bgColor theme="0" tint="-0.14996795556505021"/>
        </patternFill>
      </fill>
    </dxf>
    <dxf>
      <fill>
        <patternFill>
          <bgColor rgb="FFFF0000"/>
        </patternFill>
      </fill>
    </dxf>
    <dxf>
      <fill>
        <patternFill>
          <bgColor rgb="FFFFC000"/>
        </patternFill>
      </fill>
    </dxf>
    <dxf>
      <font>
        <color auto="1"/>
      </font>
      <fill>
        <patternFill>
          <bgColor rgb="FF92D050"/>
        </patternFill>
      </fill>
    </dxf>
    <dxf>
      <font>
        <color theme="0" tint="-0.14996795556505021"/>
      </font>
      <fill>
        <patternFill>
          <bgColor theme="0" tint="-0.14996795556505021"/>
        </patternFill>
      </fill>
    </dxf>
    <dxf>
      <fill>
        <patternFill>
          <bgColor rgb="FFFF0000"/>
        </patternFill>
      </fill>
    </dxf>
    <dxf>
      <fill>
        <patternFill>
          <bgColor rgb="FFFFC000"/>
        </patternFill>
      </fill>
    </dxf>
    <dxf>
      <font>
        <color auto="1"/>
      </font>
      <fill>
        <patternFill>
          <bgColor rgb="FF92D050"/>
        </patternFill>
      </fill>
    </dxf>
    <dxf>
      <font>
        <color theme="0" tint="-0.14996795556505021"/>
      </font>
      <fill>
        <patternFill>
          <bgColor theme="0" tint="-0.14996795556505021"/>
        </patternFill>
      </fill>
    </dxf>
    <dxf>
      <fill>
        <patternFill>
          <bgColor rgb="FFFF0000"/>
        </patternFill>
      </fill>
    </dxf>
    <dxf>
      <fill>
        <patternFill>
          <bgColor rgb="FFFFC000"/>
        </patternFill>
      </fill>
    </dxf>
    <dxf>
      <font>
        <color auto="1"/>
      </font>
      <fill>
        <patternFill>
          <bgColor rgb="FF92D050"/>
        </patternFill>
      </fill>
    </dxf>
    <dxf>
      <font>
        <color theme="0" tint="-0.14996795556505021"/>
      </font>
      <fill>
        <patternFill>
          <bgColor theme="0" tint="-0.14996795556505021"/>
        </patternFill>
      </fill>
    </dxf>
    <dxf>
      <font>
        <color theme="0" tint="-0.14996795556505021"/>
      </font>
    </dxf>
    <dxf>
      <font>
        <color theme="0" tint="-0.14996795556505021"/>
      </font>
    </dxf>
    <dxf>
      <font>
        <color theme="0" tint="-0.14996795556505021"/>
      </font>
    </dxf>
    <dxf>
      <font>
        <color theme="0" tint="-0.24994659260841701"/>
      </font>
    </dxf>
    <dxf>
      <fill>
        <patternFill>
          <bgColor rgb="FFFF0000"/>
        </patternFill>
      </fill>
    </dxf>
    <dxf>
      <fill>
        <patternFill>
          <bgColor rgb="FFFFC000"/>
        </patternFill>
      </fill>
    </dxf>
    <dxf>
      <fill>
        <patternFill>
          <bgColor rgb="FF92D050"/>
        </patternFill>
      </fill>
    </dxf>
    <dxf>
      <font>
        <color theme="4" tint="0.79998168889431442"/>
      </font>
    </dxf>
    <dxf>
      <font>
        <color theme="1"/>
      </font>
    </dxf>
    <dxf>
      <font>
        <color auto="1"/>
      </font>
    </dxf>
    <dxf>
      <font>
        <color theme="0" tint="-0.24994659260841701"/>
      </font>
    </dxf>
    <dxf>
      <font>
        <color theme="9" tint="0.59996337778862885"/>
      </font>
    </dxf>
    <dxf>
      <font>
        <color theme="1"/>
      </font>
    </dxf>
    <dxf>
      <font>
        <color auto="1"/>
      </font>
    </dxf>
    <dxf>
      <font>
        <color theme="4" tint="0.79998168889431442"/>
      </font>
    </dxf>
    <dxf>
      <font>
        <color theme="1"/>
      </font>
    </dxf>
    <dxf>
      <font>
        <color auto="1"/>
      </font>
    </dxf>
    <dxf>
      <font>
        <color theme="1"/>
      </font>
    </dxf>
    <dxf>
      <font>
        <color theme="5" tint="0.59996337778862885"/>
      </font>
    </dxf>
    <dxf>
      <font>
        <color theme="1"/>
      </font>
    </dxf>
    <dxf>
      <font>
        <color theme="5" tint="0.59996337778862885"/>
      </font>
    </dxf>
    <dxf>
      <font>
        <color theme="1"/>
      </font>
    </dxf>
    <dxf>
      <font>
        <color theme="5" tint="0.59996337778862885"/>
      </font>
    </dxf>
    <dxf>
      <font>
        <color theme="1"/>
      </font>
    </dxf>
    <dxf>
      <font>
        <color theme="5" tint="0.59996337778862885"/>
      </font>
    </dxf>
    <dxf>
      <fill>
        <patternFill>
          <bgColor rgb="FFFF0000"/>
        </patternFill>
      </fill>
    </dxf>
    <dxf>
      <fill>
        <patternFill>
          <bgColor rgb="FFFFC000"/>
        </patternFill>
      </fill>
    </dxf>
    <dxf>
      <font>
        <color auto="1"/>
      </font>
      <fill>
        <patternFill>
          <bgColor rgb="FF92D050"/>
        </patternFill>
      </fill>
    </dxf>
    <dxf>
      <font>
        <color theme="0" tint="-0.14996795556505021"/>
      </font>
    </dxf>
    <dxf>
      <font>
        <color theme="1"/>
      </font>
    </dxf>
    <dxf>
      <font>
        <color theme="5" tint="0.59996337778862885"/>
      </font>
    </dxf>
    <dxf>
      <font>
        <color theme="1"/>
      </font>
    </dxf>
    <dxf>
      <font>
        <color theme="5" tint="0.59996337778862885"/>
      </font>
    </dxf>
    <dxf>
      <font>
        <color theme="1"/>
      </font>
    </dxf>
    <dxf>
      <font>
        <color theme="5" tint="0.59996337778862885"/>
      </font>
    </dxf>
    <dxf>
      <font>
        <color theme="1"/>
      </font>
    </dxf>
    <dxf>
      <font>
        <color theme="5" tint="0.59996337778862885"/>
      </font>
    </dxf>
    <dxf>
      <fill>
        <patternFill>
          <bgColor rgb="FFFFC000"/>
        </patternFill>
      </fill>
    </dxf>
    <dxf>
      <fill>
        <patternFill>
          <bgColor rgb="FF92D050"/>
        </patternFill>
      </fill>
    </dxf>
    <dxf>
      <fill>
        <patternFill>
          <bgColor rgb="FFFF0000"/>
        </patternFill>
      </fill>
    </dxf>
    <dxf>
      <font>
        <strike val="0"/>
        <color auto="1"/>
      </font>
      <fill>
        <patternFill>
          <bgColor theme="0" tint="-0.14996795556505021"/>
        </patternFill>
      </fill>
    </dxf>
    <dxf>
      <fill>
        <patternFill>
          <bgColor rgb="FFFF0000"/>
        </patternFill>
      </fill>
    </dxf>
    <dxf>
      <fill>
        <patternFill>
          <bgColor rgb="FFFFC000"/>
        </patternFill>
      </fill>
    </dxf>
    <dxf>
      <font>
        <color auto="1"/>
      </font>
      <fill>
        <patternFill>
          <bgColor rgb="FF92D050"/>
        </patternFill>
      </fill>
    </dxf>
    <dxf>
      <font>
        <color theme="0" tint="-0.14996795556505021"/>
      </font>
    </dxf>
    <dxf>
      <font>
        <color theme="0" tint="-0.14996795556505021"/>
      </font>
    </dxf>
    <dxf>
      <fill>
        <patternFill>
          <bgColor rgb="FFFF0000"/>
        </patternFill>
      </fill>
    </dxf>
    <dxf>
      <fill>
        <patternFill>
          <bgColor rgb="FFFFC000"/>
        </patternFill>
      </fill>
    </dxf>
    <dxf>
      <font>
        <color auto="1"/>
      </font>
      <fill>
        <patternFill>
          <bgColor rgb="FF92D050"/>
        </patternFill>
      </fill>
    </dxf>
    <dxf>
      <font>
        <color theme="0" tint="-0.14996795556505021"/>
      </font>
    </dxf>
    <dxf>
      <fill>
        <patternFill>
          <bgColor rgb="FFFF0000"/>
        </patternFill>
      </fill>
    </dxf>
    <dxf>
      <fill>
        <patternFill>
          <bgColor rgb="FFFFC000"/>
        </patternFill>
      </fill>
    </dxf>
    <dxf>
      <font>
        <color auto="1"/>
      </font>
      <fill>
        <patternFill>
          <bgColor rgb="FF92D050"/>
        </patternFill>
      </fill>
    </dxf>
    <dxf>
      <font>
        <color theme="0" tint="-0.14996795556505021"/>
      </font>
    </dxf>
    <dxf>
      <fill>
        <patternFill>
          <bgColor rgb="FFFF0000"/>
        </patternFill>
      </fill>
    </dxf>
    <dxf>
      <fill>
        <patternFill>
          <bgColor rgb="FFFFC000"/>
        </patternFill>
      </fill>
    </dxf>
    <dxf>
      <font>
        <color auto="1"/>
      </font>
      <fill>
        <patternFill>
          <bgColor rgb="FF92D050"/>
        </patternFill>
      </fill>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4" tint="0.79998168889431442"/>
      </font>
    </dxf>
    <dxf>
      <font>
        <color theme="1"/>
      </font>
    </dxf>
    <dxf>
      <font>
        <color auto="1"/>
      </font>
    </dxf>
    <dxf>
      <font>
        <color auto="1"/>
      </font>
    </dxf>
    <dxf>
      <font>
        <color theme="1"/>
      </font>
    </dxf>
    <dxf>
      <font>
        <color theme="5" tint="0.59996337778862885"/>
      </font>
    </dxf>
    <dxf>
      <font>
        <color theme="1"/>
      </font>
    </dxf>
    <dxf>
      <font>
        <color theme="5" tint="0.59996337778862885"/>
      </font>
    </dxf>
    <dxf>
      <fill>
        <patternFill>
          <bgColor rgb="FFFF0000"/>
        </patternFill>
      </fill>
    </dxf>
    <dxf>
      <fill>
        <patternFill>
          <bgColor rgb="FFFFC000"/>
        </patternFill>
      </fill>
    </dxf>
    <dxf>
      <fill>
        <patternFill>
          <bgColor rgb="FF92D050"/>
        </patternFill>
      </fill>
    </dxf>
    <dxf>
      <font>
        <color theme="1"/>
      </font>
    </dxf>
    <dxf>
      <font>
        <color theme="5" tint="0.59996337778862885"/>
      </font>
    </dxf>
    <dxf>
      <font>
        <color theme="1"/>
      </font>
    </dxf>
    <dxf>
      <font>
        <color theme="5" tint="0.59996337778862885"/>
      </font>
    </dxf>
    <dxf>
      <font>
        <color theme="1"/>
      </font>
    </dxf>
    <dxf>
      <font>
        <color theme="5" tint="0.59996337778862885"/>
      </font>
    </dxf>
    <dxf>
      <font>
        <color theme="1"/>
      </font>
    </dxf>
    <dxf>
      <font>
        <color theme="5" tint="0.59996337778862885"/>
      </font>
    </dxf>
    <dxf>
      <font>
        <color theme="9" tint="0.59996337778862885"/>
      </font>
    </dxf>
    <dxf>
      <font>
        <color theme="1"/>
      </font>
    </dxf>
    <dxf>
      <font>
        <color auto="1"/>
      </font>
    </dxf>
    <dxf>
      <font>
        <color theme="0" tint="-0.24994659260841701"/>
      </font>
    </dxf>
    <dxf>
      <font>
        <color theme="4" tint="0.79998168889431442"/>
      </font>
    </dxf>
    <dxf>
      <font>
        <color theme="1"/>
      </font>
    </dxf>
    <dxf>
      <font>
        <color auto="1"/>
      </font>
    </dxf>
    <dxf>
      <font>
        <color auto="1"/>
      </font>
    </dxf>
    <dxf>
      <font>
        <color theme="4" tint="0.79998168889431442"/>
      </font>
    </dxf>
    <dxf>
      <font>
        <color theme="1"/>
      </font>
    </dxf>
    <dxf>
      <font>
        <color auto="1"/>
      </font>
    </dxf>
    <dxf>
      <font>
        <color auto="1"/>
      </font>
    </dxf>
    <dxf>
      <font>
        <color theme="1"/>
      </font>
    </dxf>
    <dxf>
      <font>
        <color theme="5" tint="0.59996337778862885"/>
      </font>
    </dxf>
    <dxf>
      <font>
        <color theme="1"/>
      </font>
    </dxf>
    <dxf>
      <font>
        <color theme="5" tint="0.59996337778862885"/>
      </font>
    </dxf>
    <dxf>
      <font>
        <color theme="1"/>
      </font>
    </dxf>
    <dxf>
      <font>
        <color theme="5" tint="0.59996337778862885"/>
      </font>
    </dxf>
    <dxf>
      <font>
        <color theme="1"/>
      </font>
    </dxf>
    <dxf>
      <font>
        <color theme="5" tint="0.59996337778862885"/>
      </font>
    </dxf>
    <dxf>
      <font>
        <color theme="1"/>
      </font>
    </dxf>
    <dxf>
      <font>
        <color theme="5" tint="0.59996337778862885"/>
      </font>
    </dxf>
    <dxf>
      <font>
        <color theme="1"/>
      </font>
    </dxf>
    <dxf>
      <font>
        <color theme="5" tint="0.59996337778862885"/>
      </font>
    </dxf>
    <dxf>
      <font>
        <color theme="1"/>
      </font>
    </dxf>
    <dxf>
      <font>
        <color theme="5" tint="0.59996337778862885"/>
      </font>
    </dxf>
    <dxf>
      <font>
        <color theme="1"/>
      </font>
    </dxf>
    <dxf>
      <font>
        <color theme="5" tint="0.59996337778862885"/>
      </font>
    </dxf>
    <dxf>
      <font>
        <color theme="1"/>
      </font>
    </dxf>
    <dxf>
      <font>
        <color theme="5" tint="0.59996337778862885"/>
      </font>
    </dxf>
    <dxf>
      <font>
        <color theme="1"/>
      </font>
    </dxf>
    <dxf>
      <font>
        <color theme="5" tint="0.59996337778862885"/>
      </font>
    </dxf>
    <dxf>
      <fill>
        <patternFill>
          <bgColor rgb="FFFF0000"/>
        </patternFill>
      </fill>
    </dxf>
    <dxf>
      <fill>
        <patternFill>
          <bgColor rgb="FFFFC000"/>
        </patternFill>
      </fill>
    </dxf>
    <dxf>
      <font>
        <color auto="1"/>
      </font>
      <fill>
        <patternFill>
          <bgColor rgb="FF92D050"/>
        </patternFill>
      </fill>
    </dxf>
    <dxf>
      <font>
        <color theme="0" tint="-0.14996795556505021"/>
      </font>
    </dxf>
    <dxf>
      <font>
        <color theme="0" tint="-0.14996795556505021"/>
      </font>
    </dxf>
    <dxf>
      <font>
        <color theme="0" tint="-0.14996795556505021"/>
      </font>
    </dxf>
    <dxf>
      <font>
        <color theme="0" tint="-0.14996795556505021"/>
      </font>
    </dxf>
    <dxf>
      <fill>
        <patternFill>
          <bgColor rgb="FFFF0000"/>
        </patternFill>
      </fill>
    </dxf>
    <dxf>
      <fill>
        <patternFill>
          <bgColor rgb="FFFFC000"/>
        </patternFill>
      </fill>
    </dxf>
    <dxf>
      <font>
        <color auto="1"/>
      </font>
      <fill>
        <patternFill>
          <bgColor rgb="FF92D050"/>
        </patternFill>
      </fill>
    </dxf>
    <dxf>
      <font>
        <color theme="0" tint="-0.14996795556505021"/>
      </font>
    </dxf>
    <dxf>
      <fill>
        <patternFill>
          <bgColor rgb="FFFF0000"/>
        </patternFill>
      </fill>
    </dxf>
    <dxf>
      <fill>
        <patternFill>
          <bgColor rgb="FFFFC000"/>
        </patternFill>
      </fill>
    </dxf>
    <dxf>
      <font>
        <color auto="1"/>
      </font>
      <fill>
        <patternFill>
          <bgColor rgb="FF92D050"/>
        </patternFill>
      </fill>
    </dxf>
    <dxf>
      <font>
        <color theme="3" tint="0.79998168889431442"/>
      </font>
    </dxf>
    <dxf>
      <font>
        <color theme="0" tint="-0.14996795556505021"/>
      </font>
    </dxf>
    <dxf>
      <font>
        <color theme="0" tint="-0.14996795556505021"/>
      </font>
    </dxf>
    <dxf>
      <font>
        <color theme="0" tint="-0.14996795556505021"/>
      </font>
    </dxf>
    <dxf>
      <font>
        <color theme="0" tint="-0.14996795556505021"/>
      </font>
    </dxf>
    <dxf>
      <font>
        <color theme="4" tint="0.79998168889431442"/>
      </font>
    </dxf>
    <dxf>
      <font>
        <color theme="1"/>
      </font>
    </dxf>
    <dxf>
      <font>
        <color auto="1"/>
      </font>
    </dxf>
    <dxf>
      <font>
        <color auto="1"/>
      </font>
    </dxf>
    <dxf>
      <font>
        <color theme="1"/>
      </font>
    </dxf>
    <dxf>
      <font>
        <color theme="5" tint="0.59996337778862885"/>
      </font>
    </dxf>
    <dxf>
      <font>
        <color theme="0" tint="-0.24994659260841701"/>
      </font>
    </dxf>
    <dxf>
      <font>
        <color theme="4" tint="0.79998168889431442"/>
      </font>
    </dxf>
    <dxf>
      <font>
        <color theme="1"/>
      </font>
    </dxf>
    <dxf>
      <font>
        <color auto="1"/>
      </font>
    </dxf>
    <dxf>
      <font>
        <color auto="1"/>
      </font>
    </dxf>
    <dxf>
      <font>
        <color theme="1"/>
      </font>
    </dxf>
    <dxf>
      <font>
        <color theme="5" tint="0.59996337778862885"/>
      </font>
    </dxf>
    <dxf>
      <fill>
        <patternFill>
          <bgColor rgb="FFFF0000"/>
        </patternFill>
      </fill>
    </dxf>
    <dxf>
      <fill>
        <patternFill>
          <bgColor rgb="FFFFC000"/>
        </patternFill>
      </fill>
    </dxf>
    <dxf>
      <font>
        <color auto="1"/>
      </font>
      <fill>
        <patternFill>
          <bgColor rgb="FF92D050"/>
        </patternFill>
      </fill>
    </dxf>
    <dxf>
      <font>
        <color theme="0" tint="-0.14996795556505021"/>
      </font>
    </dxf>
    <dxf>
      <font>
        <color theme="0" tint="-0.14996795556505021"/>
      </font>
    </dxf>
    <dxf>
      <font>
        <color theme="9" tint="0.59996337778862885"/>
      </font>
    </dxf>
    <dxf>
      <font>
        <color theme="1"/>
      </font>
    </dxf>
    <dxf>
      <font>
        <color auto="1"/>
      </font>
    </dxf>
    <dxf>
      <font>
        <color theme="0" tint="-0.24994659260841701"/>
      </font>
    </dxf>
    <dxf>
      <font>
        <color theme="9" tint="0.59996337778862885"/>
      </font>
    </dxf>
    <dxf>
      <font>
        <color theme="1"/>
      </font>
    </dxf>
    <dxf>
      <font>
        <color auto="1"/>
      </font>
    </dxf>
    <dxf>
      <font>
        <color theme="4" tint="0.79998168889431442"/>
      </font>
    </dxf>
    <dxf>
      <font>
        <color theme="1"/>
      </font>
    </dxf>
    <dxf>
      <font>
        <color auto="1"/>
      </font>
    </dxf>
    <dxf>
      <font>
        <color auto="1"/>
      </font>
    </dxf>
    <dxf>
      <font>
        <color theme="1"/>
      </font>
    </dxf>
    <dxf>
      <font>
        <color theme="5" tint="0.59996337778862885"/>
      </font>
    </dxf>
    <dxf>
      <font>
        <color theme="1"/>
      </font>
    </dxf>
    <dxf>
      <font>
        <color theme="5" tint="0.59996337778862885"/>
      </font>
    </dxf>
    <dxf>
      <font>
        <color theme="1"/>
      </font>
    </dxf>
    <dxf>
      <font>
        <color theme="5" tint="0.59996337778862885"/>
      </font>
    </dxf>
    <dxf>
      <font>
        <color theme="1"/>
      </font>
    </dxf>
    <dxf>
      <font>
        <color theme="5" tint="0.59996337778862885"/>
      </font>
    </dxf>
    <dxf>
      <fill>
        <patternFill>
          <bgColor rgb="FFFF0000"/>
        </patternFill>
      </fill>
    </dxf>
    <dxf>
      <fill>
        <patternFill>
          <bgColor rgb="FFFFC000"/>
        </patternFill>
      </fill>
    </dxf>
    <dxf>
      <fill>
        <patternFill>
          <bgColor rgb="FF92D050"/>
        </patternFill>
      </fill>
    </dxf>
    <dxf>
      <font>
        <color theme="1"/>
      </font>
    </dxf>
    <dxf>
      <font>
        <color theme="5" tint="0.59996337778862885"/>
      </font>
    </dxf>
    <dxf>
      <font>
        <color theme="1"/>
      </font>
    </dxf>
    <dxf>
      <font>
        <color theme="5" tint="0.59996337778862885"/>
      </font>
    </dxf>
    <dxf>
      <font>
        <color theme="1"/>
      </font>
    </dxf>
    <dxf>
      <font>
        <color theme="5" tint="0.59996337778862885"/>
      </font>
    </dxf>
    <dxf>
      <font>
        <color theme="1"/>
      </font>
    </dxf>
    <dxf>
      <font>
        <color theme="5" tint="0.59996337778862885"/>
      </font>
    </dxf>
    <dxf>
      <font>
        <color theme="1"/>
      </font>
    </dxf>
    <dxf>
      <font>
        <color theme="5" tint="0.59996337778862885"/>
      </font>
    </dxf>
    <dxf>
      <font>
        <color theme="1"/>
      </font>
    </dxf>
    <dxf>
      <font>
        <color theme="5" tint="0.59996337778862885"/>
      </font>
    </dxf>
    <dxf>
      <font>
        <color theme="1"/>
      </font>
    </dxf>
    <dxf>
      <font>
        <color theme="5" tint="0.59996337778862885"/>
      </font>
    </dxf>
    <dxf>
      <font>
        <color theme="1"/>
      </font>
    </dxf>
    <dxf>
      <font>
        <color theme="5" tint="0.59996337778862885"/>
      </font>
    </dxf>
    <dxf>
      <font>
        <color theme="1"/>
      </font>
    </dxf>
    <dxf>
      <font>
        <color theme="5" tint="0.59996337778862885"/>
      </font>
    </dxf>
    <dxf>
      <font>
        <color theme="1"/>
      </font>
    </dxf>
    <dxf>
      <font>
        <color theme="5" tint="0.59996337778862885"/>
      </font>
    </dxf>
    <dxf>
      <fill>
        <patternFill>
          <bgColor rgb="FFFFC000"/>
        </patternFill>
      </fill>
    </dxf>
    <dxf>
      <fill>
        <patternFill>
          <bgColor rgb="FF92D050"/>
        </patternFill>
      </fill>
    </dxf>
    <dxf>
      <fill>
        <patternFill>
          <bgColor rgb="FFFF0000"/>
        </patternFill>
      </fill>
    </dxf>
    <dxf>
      <font>
        <strike val="0"/>
        <color auto="1"/>
      </font>
      <fill>
        <patternFill>
          <bgColor theme="0" tint="-0.14996795556505021"/>
        </patternFill>
      </fill>
    </dxf>
    <dxf>
      <fill>
        <patternFill>
          <bgColor rgb="FFFF0000"/>
        </patternFill>
      </fill>
    </dxf>
    <dxf>
      <fill>
        <patternFill>
          <bgColor rgb="FFFFC000"/>
        </patternFill>
      </fill>
    </dxf>
    <dxf>
      <font>
        <color auto="1"/>
      </font>
      <fill>
        <patternFill>
          <bgColor rgb="FF92D050"/>
        </patternFill>
      </fill>
    </dxf>
    <dxf>
      <font>
        <color theme="0" tint="-0.14996795556505021"/>
      </font>
    </dxf>
    <dxf>
      <fill>
        <patternFill>
          <bgColor rgb="FFFF0000"/>
        </patternFill>
      </fill>
    </dxf>
    <dxf>
      <fill>
        <patternFill>
          <bgColor rgb="FFFFC000"/>
        </patternFill>
      </fill>
    </dxf>
    <dxf>
      <font>
        <color auto="1"/>
      </font>
      <fill>
        <patternFill>
          <bgColor rgb="FF92D050"/>
        </patternFill>
      </fill>
    </dxf>
    <dxf>
      <font>
        <color theme="0" tint="-0.14996795556505021"/>
      </font>
    </dxf>
    <dxf>
      <fill>
        <patternFill>
          <bgColor rgb="FFFF0000"/>
        </patternFill>
      </fill>
    </dxf>
    <dxf>
      <fill>
        <patternFill>
          <bgColor rgb="FFFFC000"/>
        </patternFill>
      </fill>
    </dxf>
    <dxf>
      <font>
        <color auto="1"/>
      </font>
      <fill>
        <patternFill>
          <bgColor rgb="FF92D050"/>
        </patternFill>
      </fill>
    </dxf>
    <dxf>
      <font>
        <color theme="8" tint="0.59996337778862885"/>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8BD21D50-EC42-11CE-9E0D-00AA006002F3}" ax:persistence="persistStreamInit" r:id="rId1"/>
</file>

<file path=xl/activeX/activeX2.xml><?xml version="1.0" encoding="utf-8"?>
<ax:ocx xmlns:ax="http://schemas.microsoft.com/office/2006/activeX" xmlns:r="http://schemas.openxmlformats.org/officeDocument/2006/relationships" ax:classid="{8BD21D50-EC42-11CE-9E0D-00AA006002F3}" ax:persistence="persistStreamInit" r:id="rId1"/>
</file>

<file path=xl/activeX/activeX3.xml><?xml version="1.0" encoding="utf-8"?>
<ax:ocx xmlns:ax="http://schemas.microsoft.com/office/2006/activeX" xmlns:r="http://schemas.openxmlformats.org/officeDocument/2006/relationships" ax:classid="{8BD21D50-EC42-11CE-9E0D-00AA006002F3}" ax:persistence="persistStreamInit" r:id="rId1"/>
</file>

<file path=xl/activeX/activeX4.xml><?xml version="1.0" encoding="utf-8"?>
<ax:ocx xmlns:ax="http://schemas.microsoft.com/office/2006/activeX" xmlns:r="http://schemas.openxmlformats.org/officeDocument/2006/relationships" ax:classid="{8BD21D5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971199889263621E-2"/>
          <c:y val="3.2441200324412001E-2"/>
          <c:w val="0.92821906915112196"/>
          <c:h val="0.78410304551347143"/>
        </c:manualLayout>
      </c:layout>
      <c:areaChart>
        <c:grouping val="stacked"/>
        <c:varyColors val="0"/>
        <c:ser>
          <c:idx val="0"/>
          <c:order val="1"/>
          <c:tx>
            <c:strRef>
              <c:f>Fragebogen!$M$14</c:f>
              <c:strCache>
                <c:ptCount val="1"/>
                <c:pt idx="0">
                  <c:v>Rot</c:v>
                </c:pt>
              </c:strCache>
            </c:strRef>
          </c:tx>
          <c:spPr>
            <a:solidFill>
              <a:srgbClr val="FF0000">
                <a:alpha val="80000"/>
              </a:srgbClr>
            </a:solidFill>
            <a:ln w="25400">
              <a:noFill/>
            </a:ln>
          </c:spPr>
          <c:cat>
            <c:strRef>
              <c:f>Fragebogen!$I$15:$I$21</c:f>
              <c:strCache>
                <c:ptCount val="6"/>
                <c:pt idx="1">
                  <c:v>Management</c:v>
                </c:pt>
                <c:pt idx="2">
                  <c:v>Nachhaltigkeit</c:v>
                </c:pt>
                <c:pt idx="3">
                  <c:v>Mitarbeitende</c:v>
                </c:pt>
                <c:pt idx="4">
                  <c:v>Prozesse</c:v>
                </c:pt>
                <c:pt idx="5">
                  <c:v>Verluste</c:v>
                </c:pt>
              </c:strCache>
            </c:strRef>
          </c:cat>
          <c:val>
            <c:numRef>
              <c:f>Fragebogen!$M$15:$M$21</c:f>
              <c:numCache>
                <c:formatCode>0.00</c:formatCode>
                <c:ptCount val="7"/>
                <c:pt idx="0">
                  <c:v>0.4</c:v>
                </c:pt>
                <c:pt idx="1">
                  <c:v>0.4</c:v>
                </c:pt>
                <c:pt idx="2">
                  <c:v>0.4</c:v>
                </c:pt>
                <c:pt idx="3">
                  <c:v>0.4</c:v>
                </c:pt>
                <c:pt idx="4">
                  <c:v>0.4</c:v>
                </c:pt>
                <c:pt idx="5">
                  <c:v>0.4</c:v>
                </c:pt>
                <c:pt idx="6">
                  <c:v>0.4</c:v>
                </c:pt>
              </c:numCache>
            </c:numRef>
          </c:val>
          <c:extLst>
            <c:ext xmlns:c16="http://schemas.microsoft.com/office/drawing/2014/chart" uri="{C3380CC4-5D6E-409C-BE32-E72D297353CC}">
              <c16:uniqueId val="{00000000-DA17-409B-AD25-615437C7105F}"/>
            </c:ext>
          </c:extLst>
        </c:ser>
        <c:ser>
          <c:idx val="1"/>
          <c:order val="2"/>
          <c:tx>
            <c:strRef>
              <c:f>Fragebogen!$L$14</c:f>
              <c:strCache>
                <c:ptCount val="1"/>
                <c:pt idx="0">
                  <c:v>Orange</c:v>
                </c:pt>
              </c:strCache>
            </c:strRef>
          </c:tx>
          <c:spPr>
            <a:solidFill>
              <a:srgbClr val="FFC000">
                <a:alpha val="80000"/>
              </a:srgbClr>
            </a:solidFill>
            <a:ln w="25400">
              <a:noFill/>
            </a:ln>
          </c:spPr>
          <c:cat>
            <c:strRef>
              <c:f>Fragebogen!$I$15:$I$21</c:f>
              <c:strCache>
                <c:ptCount val="6"/>
                <c:pt idx="1">
                  <c:v>Management</c:v>
                </c:pt>
                <c:pt idx="2">
                  <c:v>Nachhaltigkeit</c:v>
                </c:pt>
                <c:pt idx="3">
                  <c:v>Mitarbeitende</c:v>
                </c:pt>
                <c:pt idx="4">
                  <c:v>Prozesse</c:v>
                </c:pt>
                <c:pt idx="5">
                  <c:v>Verluste</c:v>
                </c:pt>
              </c:strCache>
            </c:strRef>
          </c:cat>
          <c:val>
            <c:numRef>
              <c:f>Fragebogen!$L$15:$L$21</c:f>
              <c:numCache>
                <c:formatCode>0.00</c:formatCode>
                <c:ptCount val="7"/>
                <c:pt idx="0">
                  <c:v>0.4</c:v>
                </c:pt>
                <c:pt idx="1">
                  <c:v>0.4</c:v>
                </c:pt>
                <c:pt idx="2">
                  <c:v>0.4</c:v>
                </c:pt>
                <c:pt idx="3">
                  <c:v>0.4</c:v>
                </c:pt>
                <c:pt idx="4">
                  <c:v>0.4</c:v>
                </c:pt>
                <c:pt idx="5">
                  <c:v>0.4</c:v>
                </c:pt>
                <c:pt idx="6">
                  <c:v>0.4</c:v>
                </c:pt>
              </c:numCache>
            </c:numRef>
          </c:val>
          <c:extLst>
            <c:ext xmlns:c16="http://schemas.microsoft.com/office/drawing/2014/chart" uri="{C3380CC4-5D6E-409C-BE32-E72D297353CC}">
              <c16:uniqueId val="{00000001-DA17-409B-AD25-615437C7105F}"/>
            </c:ext>
          </c:extLst>
        </c:ser>
        <c:ser>
          <c:idx val="2"/>
          <c:order val="3"/>
          <c:tx>
            <c:strRef>
              <c:f>Fragebogen!$K$14</c:f>
              <c:strCache>
                <c:ptCount val="1"/>
                <c:pt idx="0">
                  <c:v>Grün</c:v>
                </c:pt>
              </c:strCache>
            </c:strRef>
          </c:tx>
          <c:spPr>
            <a:solidFill>
              <a:srgbClr val="92D050">
                <a:alpha val="80000"/>
              </a:srgbClr>
            </a:solidFill>
            <a:ln w="25400">
              <a:noFill/>
            </a:ln>
          </c:spPr>
          <c:cat>
            <c:strRef>
              <c:f>Fragebogen!$I$15:$I$21</c:f>
              <c:strCache>
                <c:ptCount val="6"/>
                <c:pt idx="1">
                  <c:v>Management</c:v>
                </c:pt>
                <c:pt idx="2">
                  <c:v>Nachhaltigkeit</c:v>
                </c:pt>
                <c:pt idx="3">
                  <c:v>Mitarbeitende</c:v>
                </c:pt>
                <c:pt idx="4">
                  <c:v>Prozesse</c:v>
                </c:pt>
                <c:pt idx="5">
                  <c:v>Verluste</c:v>
                </c:pt>
              </c:strCache>
            </c:strRef>
          </c:cat>
          <c:val>
            <c:numRef>
              <c:f>Fragebogen!$K$15:$K$21</c:f>
              <c:numCache>
                <c:formatCode>0.00</c:formatCode>
                <c:ptCount val="7"/>
                <c:pt idx="0" formatCode="0.0">
                  <c:v>0.30000000000000004</c:v>
                </c:pt>
                <c:pt idx="1">
                  <c:v>0.30000000000000004</c:v>
                </c:pt>
                <c:pt idx="2">
                  <c:v>0.30000000000000004</c:v>
                </c:pt>
                <c:pt idx="3">
                  <c:v>0.30000000000000004</c:v>
                </c:pt>
                <c:pt idx="4">
                  <c:v>0.30000000000000004</c:v>
                </c:pt>
                <c:pt idx="5">
                  <c:v>0.30000000000000004</c:v>
                </c:pt>
                <c:pt idx="6">
                  <c:v>0.30000000000000004</c:v>
                </c:pt>
              </c:numCache>
            </c:numRef>
          </c:val>
          <c:extLst>
            <c:ext xmlns:c16="http://schemas.microsoft.com/office/drawing/2014/chart" uri="{C3380CC4-5D6E-409C-BE32-E72D297353CC}">
              <c16:uniqueId val="{00000002-DA17-409B-AD25-615437C7105F}"/>
            </c:ext>
          </c:extLst>
        </c:ser>
        <c:dLbls>
          <c:showLegendKey val="0"/>
          <c:showVal val="0"/>
          <c:showCatName val="0"/>
          <c:showSerName val="0"/>
          <c:showPercent val="0"/>
          <c:showBubbleSize val="0"/>
        </c:dLbls>
        <c:axId val="142149120"/>
        <c:axId val="142151040"/>
      </c:areaChart>
      <c:lineChart>
        <c:grouping val="standard"/>
        <c:varyColors val="0"/>
        <c:ser>
          <c:idx val="3"/>
          <c:order val="0"/>
          <c:tx>
            <c:strRef>
              <c:f>Fragebogen!$J$14</c:f>
              <c:strCache>
                <c:ptCount val="1"/>
                <c:pt idx="0">
                  <c:v>Wert Thema</c:v>
                </c:pt>
              </c:strCache>
            </c:strRef>
          </c:tx>
          <c:spPr>
            <a:ln>
              <a:noFill/>
            </a:ln>
          </c:spPr>
          <c:marker>
            <c:symbol val="circle"/>
            <c:size val="20"/>
            <c:spPr>
              <a:noFill/>
              <a:ln w="19050">
                <a:solidFill>
                  <a:schemeClr val="tx1"/>
                </a:solidFill>
              </a:ln>
            </c:spPr>
          </c:marker>
          <c:dPt>
            <c:idx val="0"/>
            <c:marker>
              <c:symbol val="none"/>
            </c:marker>
            <c:bubble3D val="0"/>
            <c:extLst>
              <c:ext xmlns:c16="http://schemas.microsoft.com/office/drawing/2014/chart" uri="{C3380CC4-5D6E-409C-BE32-E72D297353CC}">
                <c16:uniqueId val="{00000003-DA17-409B-AD25-615437C7105F}"/>
              </c:ext>
            </c:extLst>
          </c:dPt>
          <c:dPt>
            <c:idx val="6"/>
            <c:bubble3D val="0"/>
            <c:extLst>
              <c:ext xmlns:c16="http://schemas.microsoft.com/office/drawing/2014/chart" uri="{C3380CC4-5D6E-409C-BE32-E72D297353CC}">
                <c16:uniqueId val="{00000004-DA17-409B-AD25-615437C7105F}"/>
              </c:ext>
            </c:extLst>
          </c:dPt>
          <c:cat>
            <c:strRef>
              <c:f>Fragebogen!$I$15:$I$21</c:f>
              <c:strCache>
                <c:ptCount val="6"/>
                <c:pt idx="1">
                  <c:v>Management</c:v>
                </c:pt>
                <c:pt idx="2">
                  <c:v>Nachhaltigkeit</c:v>
                </c:pt>
                <c:pt idx="3">
                  <c:v>Mitarbeitende</c:v>
                </c:pt>
                <c:pt idx="4">
                  <c:v>Prozesse</c:v>
                </c:pt>
                <c:pt idx="5">
                  <c:v>Verluste</c:v>
                </c:pt>
              </c:strCache>
            </c:strRef>
          </c:cat>
          <c:val>
            <c:numRef>
              <c:f>Fragebogen!$J$15:$J$21</c:f>
              <c:numCache>
                <c:formatCode>0.00</c:formatCode>
                <c:ptCount val="7"/>
                <c:pt idx="1">
                  <c:v>0</c:v>
                </c:pt>
                <c:pt idx="2">
                  <c:v>0</c:v>
                </c:pt>
                <c:pt idx="3">
                  <c:v>0</c:v>
                </c:pt>
                <c:pt idx="4">
                  <c:v>0</c:v>
                </c:pt>
                <c:pt idx="5">
                  <c:v>0</c:v>
                </c:pt>
              </c:numCache>
            </c:numRef>
          </c:val>
          <c:smooth val="0"/>
          <c:extLst>
            <c:ext xmlns:c16="http://schemas.microsoft.com/office/drawing/2014/chart" uri="{C3380CC4-5D6E-409C-BE32-E72D297353CC}">
              <c16:uniqueId val="{00000005-DA17-409B-AD25-615437C7105F}"/>
            </c:ext>
          </c:extLst>
        </c:ser>
        <c:dLbls>
          <c:showLegendKey val="0"/>
          <c:showVal val="0"/>
          <c:showCatName val="0"/>
          <c:showSerName val="0"/>
          <c:showPercent val="0"/>
          <c:showBubbleSize val="0"/>
        </c:dLbls>
        <c:marker val="1"/>
        <c:smooth val="0"/>
        <c:axId val="142163328"/>
        <c:axId val="142161408"/>
      </c:lineChart>
      <c:catAx>
        <c:axId val="142149120"/>
        <c:scaling>
          <c:orientation val="minMax"/>
        </c:scaling>
        <c:delete val="0"/>
        <c:axPos val="b"/>
        <c:majorGridlines>
          <c:spPr>
            <a:ln w="19050">
              <a:solidFill>
                <a:schemeClr val="tx1"/>
              </a:solidFill>
            </a:ln>
          </c:spPr>
        </c:majorGridlines>
        <c:numFmt formatCode="General" sourceLinked="0"/>
        <c:majorTickMark val="out"/>
        <c:minorTickMark val="none"/>
        <c:tickLblPos val="nextTo"/>
        <c:spPr>
          <a:ln w="19050">
            <a:noFill/>
          </a:ln>
        </c:spPr>
        <c:txPr>
          <a:bodyPr rot="-2100000"/>
          <a:lstStyle/>
          <a:p>
            <a:pPr>
              <a:defRPr sz="900" baseline="0"/>
            </a:pPr>
            <a:endParaRPr lang="de-DE"/>
          </a:p>
        </c:txPr>
        <c:crossAx val="142151040"/>
        <c:crossesAt val="-0.1"/>
        <c:auto val="0"/>
        <c:lblAlgn val="ctr"/>
        <c:lblOffset val="100"/>
        <c:noMultiLvlLbl val="0"/>
      </c:catAx>
      <c:valAx>
        <c:axId val="142151040"/>
        <c:scaling>
          <c:orientation val="minMax"/>
          <c:max val="1.1000000000000001"/>
          <c:min val="-0.1"/>
        </c:scaling>
        <c:delete val="0"/>
        <c:axPos val="l"/>
        <c:title>
          <c:tx>
            <c:rich>
              <a:bodyPr rot="0" vert="wordArtVert"/>
              <a:lstStyle/>
              <a:p>
                <a:pPr>
                  <a:defRPr/>
                </a:pPr>
                <a:r>
                  <a:rPr lang="de-CH" sz="800">
                    <a:latin typeface="Arial" pitchFamily="34" charset="0"/>
                    <a:cs typeface="Arial" pitchFamily="34" charset="0"/>
                  </a:rPr>
                  <a:t>Bewertung</a:t>
                </a:r>
              </a:p>
            </c:rich>
          </c:tx>
          <c:layout>
            <c:manualLayout>
              <c:xMode val="edge"/>
              <c:yMode val="edge"/>
              <c:x val="6.371379259133228E-2"/>
              <c:y val="5.0517845853209953E-2"/>
            </c:manualLayout>
          </c:layout>
          <c:overlay val="0"/>
        </c:title>
        <c:numFmt formatCode="0.00" sourceLinked="1"/>
        <c:majorTickMark val="none"/>
        <c:minorTickMark val="none"/>
        <c:tickLblPos val="none"/>
        <c:spPr>
          <a:ln w="19050">
            <a:solidFill>
              <a:schemeClr val="tx1"/>
            </a:solidFill>
          </a:ln>
        </c:spPr>
        <c:crossAx val="142149120"/>
        <c:crosses val="autoZero"/>
        <c:crossBetween val="between"/>
      </c:valAx>
      <c:valAx>
        <c:axId val="142161408"/>
        <c:scaling>
          <c:orientation val="minMax"/>
          <c:max val="1.1000000000000001"/>
          <c:min val="-0.1"/>
        </c:scaling>
        <c:delete val="0"/>
        <c:axPos val="r"/>
        <c:majorGridlines>
          <c:spPr>
            <a:ln w="19050">
              <a:noFill/>
            </a:ln>
          </c:spPr>
        </c:majorGridlines>
        <c:title>
          <c:tx>
            <c:rich>
              <a:bodyPr rot="0" vert="wordArtVert"/>
              <a:lstStyle/>
              <a:p>
                <a:pPr>
                  <a:defRPr sz="800"/>
                </a:pPr>
                <a:r>
                  <a:rPr lang="de-CH" sz="800">
                    <a:latin typeface="Arial" pitchFamily="34" charset="0"/>
                    <a:cs typeface="Arial" pitchFamily="34" charset="0"/>
                  </a:rPr>
                  <a:t>Bewertung</a:t>
                </a:r>
              </a:p>
            </c:rich>
          </c:tx>
          <c:layout>
            <c:manualLayout>
              <c:xMode val="edge"/>
              <c:yMode val="edge"/>
              <c:x val="0.92385720197422205"/>
              <c:y val="4.4911137932575937E-2"/>
            </c:manualLayout>
          </c:layout>
          <c:overlay val="0"/>
        </c:title>
        <c:numFmt formatCode="General" sourceLinked="1"/>
        <c:majorTickMark val="none"/>
        <c:minorTickMark val="none"/>
        <c:tickLblPos val="none"/>
        <c:spPr>
          <a:ln>
            <a:noFill/>
          </a:ln>
        </c:spPr>
        <c:crossAx val="142163328"/>
        <c:crosses val="max"/>
        <c:crossBetween val="between"/>
      </c:valAx>
      <c:catAx>
        <c:axId val="142163328"/>
        <c:scaling>
          <c:orientation val="minMax"/>
        </c:scaling>
        <c:delete val="1"/>
        <c:axPos val="b"/>
        <c:numFmt formatCode="General" sourceLinked="1"/>
        <c:majorTickMark val="out"/>
        <c:minorTickMark val="none"/>
        <c:tickLblPos val="nextTo"/>
        <c:crossAx val="142161408"/>
        <c:crosses val="autoZero"/>
        <c:auto val="1"/>
        <c:lblAlgn val="ctr"/>
        <c:lblOffset val="100"/>
        <c:noMultiLvlLbl val="0"/>
      </c:catAx>
    </c:plotArea>
    <c:plotVisOnly val="1"/>
    <c:dispBlanksAs val="gap"/>
    <c:showDLblsOverMax val="0"/>
  </c:chart>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64073397458543"/>
          <c:y val="3.2441200324412001E-2"/>
          <c:w val="0.83208172143167147"/>
          <c:h val="0.58945584356699943"/>
        </c:manualLayout>
      </c:layout>
      <c:areaChart>
        <c:grouping val="stacked"/>
        <c:varyColors val="0"/>
        <c:ser>
          <c:idx val="0"/>
          <c:order val="1"/>
          <c:tx>
            <c:strRef>
              <c:f>Milchverarbeitung!$AY$58</c:f>
              <c:strCache>
                <c:ptCount val="1"/>
                <c:pt idx="0">
                  <c:v>Rot</c:v>
                </c:pt>
              </c:strCache>
            </c:strRef>
          </c:tx>
          <c:spPr>
            <a:solidFill>
              <a:srgbClr val="FF0000">
                <a:alpha val="80000"/>
              </a:srgbClr>
            </a:solidFill>
            <a:ln w="25400">
              <a:noFill/>
            </a:ln>
          </c:spPr>
          <c:cat>
            <c:strRef>
              <c:f>Milchverarbeitung!$AU$59:$AU$66</c:f>
              <c:strCache>
                <c:ptCount val="7"/>
                <c:pt idx="1">
                  <c:v>Wassersparmassnahmen</c:v>
                </c:pt>
                <c:pt idx="2">
                  <c:v>Verluste</c:v>
                </c:pt>
                <c:pt idx="3">
                  <c:v>Verluste Konzentrierung / Trocknung</c:v>
                </c:pt>
                <c:pt idx="4">
                  <c:v>Reinigung</c:v>
                </c:pt>
                <c:pt idx="5">
                  <c:v>Abfall/Nebenprodukte</c:v>
                </c:pt>
                <c:pt idx="6">
                  <c:v>Energieverbrauch</c:v>
                </c:pt>
              </c:strCache>
            </c:strRef>
          </c:cat>
          <c:val>
            <c:numRef>
              <c:f>Milchverarbeitung!$AY$59:$AY$66</c:f>
              <c:numCache>
                <c:formatCode>0.00</c:formatCode>
                <c:ptCount val="8"/>
                <c:pt idx="0">
                  <c:v>0.4</c:v>
                </c:pt>
                <c:pt idx="1">
                  <c:v>0.4</c:v>
                </c:pt>
                <c:pt idx="2">
                  <c:v>0.4</c:v>
                </c:pt>
                <c:pt idx="3">
                  <c:v>0.4</c:v>
                </c:pt>
                <c:pt idx="4">
                  <c:v>0.4</c:v>
                </c:pt>
                <c:pt idx="5">
                  <c:v>0.4</c:v>
                </c:pt>
                <c:pt idx="6">
                  <c:v>0.4</c:v>
                </c:pt>
                <c:pt idx="7">
                  <c:v>0.4</c:v>
                </c:pt>
              </c:numCache>
            </c:numRef>
          </c:val>
          <c:extLst>
            <c:ext xmlns:c16="http://schemas.microsoft.com/office/drawing/2014/chart" uri="{C3380CC4-5D6E-409C-BE32-E72D297353CC}">
              <c16:uniqueId val="{00000000-8195-4009-829A-ABAA31156B12}"/>
            </c:ext>
          </c:extLst>
        </c:ser>
        <c:ser>
          <c:idx val="1"/>
          <c:order val="2"/>
          <c:tx>
            <c:strRef>
              <c:f>Milchverarbeitung!$AX$58</c:f>
              <c:strCache>
                <c:ptCount val="1"/>
                <c:pt idx="0">
                  <c:v>Orange</c:v>
                </c:pt>
              </c:strCache>
            </c:strRef>
          </c:tx>
          <c:spPr>
            <a:solidFill>
              <a:srgbClr val="FFC000">
                <a:alpha val="80000"/>
              </a:srgbClr>
            </a:solidFill>
            <a:ln w="25400">
              <a:noFill/>
            </a:ln>
          </c:spPr>
          <c:cat>
            <c:strRef>
              <c:f>Milchverarbeitung!$AU$59:$AU$66</c:f>
              <c:strCache>
                <c:ptCount val="7"/>
                <c:pt idx="1">
                  <c:v>Wassersparmassnahmen</c:v>
                </c:pt>
                <c:pt idx="2">
                  <c:v>Verluste</c:v>
                </c:pt>
                <c:pt idx="3">
                  <c:v>Verluste Konzentrierung / Trocknung</c:v>
                </c:pt>
                <c:pt idx="4">
                  <c:v>Reinigung</c:v>
                </c:pt>
                <c:pt idx="5">
                  <c:v>Abfall/Nebenprodukte</c:v>
                </c:pt>
                <c:pt idx="6">
                  <c:v>Energieverbrauch</c:v>
                </c:pt>
              </c:strCache>
            </c:strRef>
          </c:cat>
          <c:val>
            <c:numRef>
              <c:f>Milchverarbeitung!$AX$59:$AX$66</c:f>
              <c:numCache>
                <c:formatCode>0.00</c:formatCode>
                <c:ptCount val="8"/>
                <c:pt idx="0">
                  <c:v>0.4</c:v>
                </c:pt>
                <c:pt idx="1">
                  <c:v>0.4</c:v>
                </c:pt>
                <c:pt idx="2">
                  <c:v>0.4</c:v>
                </c:pt>
                <c:pt idx="3">
                  <c:v>0.4</c:v>
                </c:pt>
                <c:pt idx="4">
                  <c:v>0.4</c:v>
                </c:pt>
                <c:pt idx="5">
                  <c:v>0.4</c:v>
                </c:pt>
                <c:pt idx="6">
                  <c:v>0.4</c:v>
                </c:pt>
                <c:pt idx="7">
                  <c:v>0.4</c:v>
                </c:pt>
              </c:numCache>
            </c:numRef>
          </c:val>
          <c:extLst>
            <c:ext xmlns:c16="http://schemas.microsoft.com/office/drawing/2014/chart" uri="{C3380CC4-5D6E-409C-BE32-E72D297353CC}">
              <c16:uniqueId val="{00000001-8195-4009-829A-ABAA31156B12}"/>
            </c:ext>
          </c:extLst>
        </c:ser>
        <c:ser>
          <c:idx val="2"/>
          <c:order val="3"/>
          <c:tx>
            <c:strRef>
              <c:f>Milchverarbeitung!$AW$58</c:f>
              <c:strCache>
                <c:ptCount val="1"/>
                <c:pt idx="0">
                  <c:v>Grün</c:v>
                </c:pt>
              </c:strCache>
            </c:strRef>
          </c:tx>
          <c:spPr>
            <a:solidFill>
              <a:srgbClr val="92D050">
                <a:alpha val="80000"/>
              </a:srgbClr>
            </a:solidFill>
            <a:ln w="25400">
              <a:noFill/>
            </a:ln>
          </c:spPr>
          <c:cat>
            <c:strRef>
              <c:f>Milchverarbeitung!$AU$59:$AU$66</c:f>
              <c:strCache>
                <c:ptCount val="7"/>
                <c:pt idx="1">
                  <c:v>Wassersparmassnahmen</c:v>
                </c:pt>
                <c:pt idx="2">
                  <c:v>Verluste</c:v>
                </c:pt>
                <c:pt idx="3">
                  <c:v>Verluste Konzentrierung / Trocknung</c:v>
                </c:pt>
                <c:pt idx="4">
                  <c:v>Reinigung</c:v>
                </c:pt>
                <c:pt idx="5">
                  <c:v>Abfall/Nebenprodukte</c:v>
                </c:pt>
                <c:pt idx="6">
                  <c:v>Energieverbrauch</c:v>
                </c:pt>
              </c:strCache>
            </c:strRef>
          </c:cat>
          <c:val>
            <c:numRef>
              <c:f>Milchverarbeitung!$AW$59:$AW$66</c:f>
              <c:numCache>
                <c:formatCode>0.00</c:formatCode>
                <c:ptCount val="8"/>
                <c:pt idx="0">
                  <c:v>0.30000000000000004</c:v>
                </c:pt>
                <c:pt idx="1">
                  <c:v>0.30000000000000004</c:v>
                </c:pt>
                <c:pt idx="2">
                  <c:v>0.30000000000000004</c:v>
                </c:pt>
                <c:pt idx="3">
                  <c:v>0.30000000000000004</c:v>
                </c:pt>
                <c:pt idx="4">
                  <c:v>0.30000000000000004</c:v>
                </c:pt>
                <c:pt idx="5">
                  <c:v>0.30000000000000004</c:v>
                </c:pt>
                <c:pt idx="6">
                  <c:v>0.30000000000000004</c:v>
                </c:pt>
                <c:pt idx="7">
                  <c:v>0.30000000000000004</c:v>
                </c:pt>
              </c:numCache>
            </c:numRef>
          </c:val>
          <c:extLst>
            <c:ext xmlns:c16="http://schemas.microsoft.com/office/drawing/2014/chart" uri="{C3380CC4-5D6E-409C-BE32-E72D297353CC}">
              <c16:uniqueId val="{00000002-8195-4009-829A-ABAA31156B12}"/>
            </c:ext>
          </c:extLst>
        </c:ser>
        <c:dLbls>
          <c:showLegendKey val="0"/>
          <c:showVal val="0"/>
          <c:showCatName val="0"/>
          <c:showSerName val="0"/>
          <c:showPercent val="0"/>
          <c:showBubbleSize val="0"/>
        </c:dLbls>
        <c:axId val="138550272"/>
        <c:axId val="138556544"/>
      </c:areaChart>
      <c:lineChart>
        <c:grouping val="standard"/>
        <c:varyColors val="0"/>
        <c:ser>
          <c:idx val="3"/>
          <c:order val="0"/>
          <c:tx>
            <c:strRef>
              <c:f>Milchverarbeitung!$AV$58</c:f>
              <c:strCache>
                <c:ptCount val="1"/>
                <c:pt idx="0">
                  <c:v>Wert Thema</c:v>
                </c:pt>
              </c:strCache>
            </c:strRef>
          </c:tx>
          <c:spPr>
            <a:ln>
              <a:noFill/>
            </a:ln>
          </c:spPr>
          <c:marker>
            <c:symbol val="circle"/>
            <c:size val="12"/>
            <c:spPr>
              <a:noFill/>
              <a:ln w="19050">
                <a:solidFill>
                  <a:schemeClr val="tx1"/>
                </a:solidFill>
              </a:ln>
            </c:spPr>
          </c:marker>
          <c:dPt>
            <c:idx val="0"/>
            <c:marker>
              <c:symbol val="none"/>
            </c:marker>
            <c:bubble3D val="0"/>
            <c:extLst>
              <c:ext xmlns:c16="http://schemas.microsoft.com/office/drawing/2014/chart" uri="{C3380CC4-5D6E-409C-BE32-E72D297353CC}">
                <c16:uniqueId val="{00000003-8195-4009-829A-ABAA31156B12}"/>
              </c:ext>
            </c:extLst>
          </c:dPt>
          <c:dPt>
            <c:idx val="6"/>
            <c:bubble3D val="0"/>
            <c:extLst>
              <c:ext xmlns:c16="http://schemas.microsoft.com/office/drawing/2014/chart" uri="{C3380CC4-5D6E-409C-BE32-E72D297353CC}">
                <c16:uniqueId val="{00000004-8195-4009-829A-ABAA31156B12}"/>
              </c:ext>
            </c:extLst>
          </c:dPt>
          <c:cat>
            <c:strRef>
              <c:f>Milchverarbeitung!$AU$59:$AU$66</c:f>
              <c:strCache>
                <c:ptCount val="7"/>
                <c:pt idx="1">
                  <c:v>Wassersparmassnahmen</c:v>
                </c:pt>
                <c:pt idx="2">
                  <c:v>Verluste</c:v>
                </c:pt>
                <c:pt idx="3">
                  <c:v>Verluste Konzentrierung / Trocknung</c:v>
                </c:pt>
                <c:pt idx="4">
                  <c:v>Reinigung</c:v>
                </c:pt>
                <c:pt idx="5">
                  <c:v>Abfall/Nebenprodukte</c:v>
                </c:pt>
                <c:pt idx="6">
                  <c:v>Energieverbrauch</c:v>
                </c:pt>
              </c:strCache>
            </c:strRef>
          </c:cat>
          <c:val>
            <c:numRef>
              <c:f>Milchverarbeitung!$AV$59:$AV$66</c:f>
              <c:numCache>
                <c:formatCode>0.0</c:formatCode>
                <c:ptCount val="8"/>
                <c:pt idx="1">
                  <c:v>0</c:v>
                </c:pt>
                <c:pt idx="2">
                  <c:v>0</c:v>
                </c:pt>
                <c:pt idx="3">
                  <c:v>0</c:v>
                </c:pt>
                <c:pt idx="4">
                  <c:v>0</c:v>
                </c:pt>
                <c:pt idx="5">
                  <c:v>0</c:v>
                </c:pt>
                <c:pt idx="6">
                  <c:v>0</c:v>
                </c:pt>
              </c:numCache>
            </c:numRef>
          </c:val>
          <c:smooth val="0"/>
          <c:extLst>
            <c:ext xmlns:c16="http://schemas.microsoft.com/office/drawing/2014/chart" uri="{C3380CC4-5D6E-409C-BE32-E72D297353CC}">
              <c16:uniqueId val="{00000005-8195-4009-829A-ABAA31156B12}"/>
            </c:ext>
          </c:extLst>
        </c:ser>
        <c:dLbls>
          <c:showLegendKey val="0"/>
          <c:showVal val="0"/>
          <c:showCatName val="0"/>
          <c:showSerName val="0"/>
          <c:showPercent val="0"/>
          <c:showBubbleSize val="0"/>
        </c:dLbls>
        <c:marker val="1"/>
        <c:smooth val="0"/>
        <c:axId val="138564736"/>
        <c:axId val="138558464"/>
      </c:lineChart>
      <c:catAx>
        <c:axId val="138550272"/>
        <c:scaling>
          <c:orientation val="minMax"/>
        </c:scaling>
        <c:delete val="0"/>
        <c:axPos val="b"/>
        <c:majorGridlines>
          <c:spPr>
            <a:ln w="19050">
              <a:solidFill>
                <a:schemeClr val="tx1"/>
              </a:solidFill>
            </a:ln>
          </c:spPr>
        </c:majorGridlines>
        <c:numFmt formatCode="General" sourceLinked="0"/>
        <c:majorTickMark val="out"/>
        <c:minorTickMark val="none"/>
        <c:tickLblPos val="nextTo"/>
        <c:spPr>
          <a:ln w="19050">
            <a:noFill/>
          </a:ln>
        </c:spPr>
        <c:txPr>
          <a:bodyPr/>
          <a:lstStyle/>
          <a:p>
            <a:pPr>
              <a:defRPr sz="900" baseline="0"/>
            </a:pPr>
            <a:endParaRPr lang="de-DE"/>
          </a:p>
        </c:txPr>
        <c:crossAx val="138556544"/>
        <c:crossesAt val="-0.1"/>
        <c:auto val="0"/>
        <c:lblAlgn val="ctr"/>
        <c:lblOffset val="100"/>
        <c:noMultiLvlLbl val="0"/>
      </c:catAx>
      <c:valAx>
        <c:axId val="138556544"/>
        <c:scaling>
          <c:orientation val="minMax"/>
          <c:max val="1.1000000000000001"/>
          <c:min val="-0.1"/>
        </c:scaling>
        <c:delete val="0"/>
        <c:axPos val="l"/>
        <c:title>
          <c:tx>
            <c:rich>
              <a:bodyPr rot="0" vert="wordArtVert"/>
              <a:lstStyle/>
              <a:p>
                <a:pPr>
                  <a:defRPr/>
                </a:pPr>
                <a:r>
                  <a:rPr lang="de-CH" sz="800">
                    <a:latin typeface="Arial" pitchFamily="34" charset="0"/>
                    <a:cs typeface="Arial" pitchFamily="34" charset="0"/>
                  </a:rPr>
                  <a:t>Bewertung</a:t>
                </a:r>
              </a:p>
            </c:rich>
          </c:tx>
          <c:layout>
            <c:manualLayout>
              <c:xMode val="edge"/>
              <c:yMode val="edge"/>
              <c:x val="0.12322738879861118"/>
              <c:y val="6.0250205950533556E-2"/>
            </c:manualLayout>
          </c:layout>
          <c:overlay val="0"/>
        </c:title>
        <c:numFmt formatCode="0.00" sourceLinked="1"/>
        <c:majorTickMark val="none"/>
        <c:minorTickMark val="none"/>
        <c:tickLblPos val="none"/>
        <c:spPr>
          <a:ln w="19050">
            <a:solidFill>
              <a:schemeClr val="tx1"/>
            </a:solidFill>
          </a:ln>
        </c:spPr>
        <c:crossAx val="138550272"/>
        <c:crosses val="autoZero"/>
        <c:crossBetween val="between"/>
      </c:valAx>
      <c:valAx>
        <c:axId val="138558464"/>
        <c:scaling>
          <c:orientation val="minMax"/>
          <c:max val="1.1000000000000001"/>
          <c:min val="-0.1"/>
        </c:scaling>
        <c:delete val="0"/>
        <c:axPos val="r"/>
        <c:majorGridlines>
          <c:spPr>
            <a:ln w="19050">
              <a:noFill/>
            </a:ln>
          </c:spPr>
        </c:majorGridlines>
        <c:title>
          <c:tx>
            <c:rich>
              <a:bodyPr rot="0" vert="wordArtVert"/>
              <a:lstStyle/>
              <a:p>
                <a:pPr>
                  <a:defRPr sz="800"/>
                </a:pPr>
                <a:r>
                  <a:rPr lang="de-CH" sz="800">
                    <a:latin typeface="Arial" pitchFamily="34" charset="0"/>
                    <a:cs typeface="Arial" pitchFamily="34" charset="0"/>
                  </a:rPr>
                  <a:t>Bewertung</a:t>
                </a:r>
              </a:p>
            </c:rich>
          </c:tx>
          <c:layout>
            <c:manualLayout>
              <c:xMode val="edge"/>
              <c:yMode val="edge"/>
              <c:x val="0.90096735727911481"/>
              <c:y val="5.464349802989954E-2"/>
            </c:manualLayout>
          </c:layout>
          <c:overlay val="0"/>
        </c:title>
        <c:numFmt formatCode="General" sourceLinked="1"/>
        <c:majorTickMark val="none"/>
        <c:minorTickMark val="none"/>
        <c:tickLblPos val="none"/>
        <c:spPr>
          <a:ln>
            <a:noFill/>
          </a:ln>
        </c:spPr>
        <c:crossAx val="138564736"/>
        <c:crosses val="max"/>
        <c:crossBetween val="between"/>
      </c:valAx>
      <c:catAx>
        <c:axId val="138564736"/>
        <c:scaling>
          <c:orientation val="minMax"/>
        </c:scaling>
        <c:delete val="1"/>
        <c:axPos val="b"/>
        <c:numFmt formatCode="General" sourceLinked="1"/>
        <c:majorTickMark val="out"/>
        <c:minorTickMark val="none"/>
        <c:tickLblPos val="nextTo"/>
        <c:crossAx val="138558464"/>
        <c:crosses val="autoZero"/>
        <c:auto val="1"/>
        <c:lblAlgn val="ctr"/>
        <c:lblOffset val="100"/>
        <c:noMultiLvlLbl val="0"/>
      </c:catAx>
    </c:plotArea>
    <c:plotVisOnly val="1"/>
    <c:dispBlanksAs val="gap"/>
    <c:showDLblsOverMax val="0"/>
  </c:chart>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1"/>
          <c:tx>
            <c:strRef>
              <c:f>Käsereien!$AS$46</c:f>
              <c:strCache>
                <c:ptCount val="1"/>
                <c:pt idx="0">
                  <c:v>Rot</c:v>
                </c:pt>
              </c:strCache>
            </c:strRef>
          </c:tx>
          <c:spPr>
            <a:solidFill>
              <a:srgbClr val="FF0000">
                <a:alpha val="80000"/>
              </a:srgbClr>
            </a:solidFill>
            <a:ln w="25400">
              <a:noFill/>
            </a:ln>
          </c:spPr>
          <c:cat>
            <c:strRef>
              <c:f>Käsereien!$AO$47:$AO$53</c:f>
              <c:strCache>
                <c:ptCount val="6"/>
                <c:pt idx="1">
                  <c:v>Allgemein</c:v>
                </c:pt>
                <c:pt idx="2">
                  <c:v>Wassersparmassnahmen</c:v>
                </c:pt>
                <c:pt idx="3">
                  <c:v>Reinigung</c:v>
                </c:pt>
                <c:pt idx="4">
                  <c:v>Abwasserbelastung/Verluste</c:v>
                </c:pt>
                <c:pt idx="5">
                  <c:v>Energieverbrauch</c:v>
                </c:pt>
              </c:strCache>
            </c:strRef>
          </c:cat>
          <c:val>
            <c:numRef>
              <c:f>Käsereien!$AS$47:$AS$53</c:f>
              <c:numCache>
                <c:formatCode>0.00</c:formatCode>
                <c:ptCount val="7"/>
                <c:pt idx="0">
                  <c:v>0.4</c:v>
                </c:pt>
                <c:pt idx="1">
                  <c:v>0.4</c:v>
                </c:pt>
                <c:pt idx="2">
                  <c:v>0.4</c:v>
                </c:pt>
                <c:pt idx="3">
                  <c:v>0.4</c:v>
                </c:pt>
                <c:pt idx="4">
                  <c:v>0.4</c:v>
                </c:pt>
                <c:pt idx="5">
                  <c:v>0.4</c:v>
                </c:pt>
                <c:pt idx="6">
                  <c:v>0.4</c:v>
                </c:pt>
              </c:numCache>
            </c:numRef>
          </c:val>
          <c:extLst>
            <c:ext xmlns:c16="http://schemas.microsoft.com/office/drawing/2014/chart" uri="{C3380CC4-5D6E-409C-BE32-E72D297353CC}">
              <c16:uniqueId val="{00000000-AB14-4512-8B87-58CA151AAB92}"/>
            </c:ext>
          </c:extLst>
        </c:ser>
        <c:ser>
          <c:idx val="1"/>
          <c:order val="2"/>
          <c:tx>
            <c:strRef>
              <c:f>Käsereien!$AR$46</c:f>
              <c:strCache>
                <c:ptCount val="1"/>
                <c:pt idx="0">
                  <c:v>Orange</c:v>
                </c:pt>
              </c:strCache>
            </c:strRef>
          </c:tx>
          <c:spPr>
            <a:solidFill>
              <a:srgbClr val="FFC000">
                <a:alpha val="80000"/>
              </a:srgbClr>
            </a:solidFill>
            <a:ln w="25400">
              <a:noFill/>
            </a:ln>
          </c:spPr>
          <c:cat>
            <c:strRef>
              <c:f>Käsereien!$AO$47:$AO$53</c:f>
              <c:strCache>
                <c:ptCount val="6"/>
                <c:pt idx="1">
                  <c:v>Allgemein</c:v>
                </c:pt>
                <c:pt idx="2">
                  <c:v>Wassersparmassnahmen</c:v>
                </c:pt>
                <c:pt idx="3">
                  <c:v>Reinigung</c:v>
                </c:pt>
                <c:pt idx="4">
                  <c:v>Abwasserbelastung/Verluste</c:v>
                </c:pt>
                <c:pt idx="5">
                  <c:v>Energieverbrauch</c:v>
                </c:pt>
              </c:strCache>
            </c:strRef>
          </c:cat>
          <c:val>
            <c:numRef>
              <c:f>Käsereien!$AR$47:$AR$53</c:f>
              <c:numCache>
                <c:formatCode>0.00</c:formatCode>
                <c:ptCount val="7"/>
                <c:pt idx="0">
                  <c:v>0.4</c:v>
                </c:pt>
                <c:pt idx="1">
                  <c:v>0.4</c:v>
                </c:pt>
                <c:pt idx="2">
                  <c:v>0.4</c:v>
                </c:pt>
                <c:pt idx="3">
                  <c:v>0.4</c:v>
                </c:pt>
                <c:pt idx="4">
                  <c:v>0.4</c:v>
                </c:pt>
                <c:pt idx="5">
                  <c:v>0.4</c:v>
                </c:pt>
                <c:pt idx="6">
                  <c:v>0.4</c:v>
                </c:pt>
              </c:numCache>
            </c:numRef>
          </c:val>
          <c:extLst>
            <c:ext xmlns:c16="http://schemas.microsoft.com/office/drawing/2014/chart" uri="{C3380CC4-5D6E-409C-BE32-E72D297353CC}">
              <c16:uniqueId val="{00000001-AB14-4512-8B87-58CA151AAB92}"/>
            </c:ext>
          </c:extLst>
        </c:ser>
        <c:ser>
          <c:idx val="2"/>
          <c:order val="3"/>
          <c:tx>
            <c:strRef>
              <c:f>Käsereien!$AQ$46</c:f>
              <c:strCache>
                <c:ptCount val="1"/>
                <c:pt idx="0">
                  <c:v>Grün</c:v>
                </c:pt>
              </c:strCache>
            </c:strRef>
          </c:tx>
          <c:spPr>
            <a:solidFill>
              <a:srgbClr val="92D050">
                <a:alpha val="80000"/>
              </a:srgbClr>
            </a:solidFill>
            <a:ln w="25400">
              <a:noFill/>
            </a:ln>
          </c:spPr>
          <c:cat>
            <c:strRef>
              <c:f>Käsereien!$AO$47:$AO$53</c:f>
              <c:strCache>
                <c:ptCount val="6"/>
                <c:pt idx="1">
                  <c:v>Allgemein</c:v>
                </c:pt>
                <c:pt idx="2">
                  <c:v>Wassersparmassnahmen</c:v>
                </c:pt>
                <c:pt idx="3">
                  <c:v>Reinigung</c:v>
                </c:pt>
                <c:pt idx="4">
                  <c:v>Abwasserbelastung/Verluste</c:v>
                </c:pt>
                <c:pt idx="5">
                  <c:v>Energieverbrauch</c:v>
                </c:pt>
              </c:strCache>
            </c:strRef>
          </c:cat>
          <c:val>
            <c:numRef>
              <c:f>Käsereien!$AQ$47:$AQ$53</c:f>
              <c:numCache>
                <c:formatCode>0.00</c:formatCode>
                <c:ptCount val="7"/>
                <c:pt idx="0">
                  <c:v>0.30000000000000004</c:v>
                </c:pt>
                <c:pt idx="1">
                  <c:v>0.30000000000000004</c:v>
                </c:pt>
                <c:pt idx="2">
                  <c:v>0.30000000000000004</c:v>
                </c:pt>
                <c:pt idx="3">
                  <c:v>0.30000000000000004</c:v>
                </c:pt>
                <c:pt idx="4">
                  <c:v>0.30000000000000004</c:v>
                </c:pt>
                <c:pt idx="5">
                  <c:v>0.30000000000000004</c:v>
                </c:pt>
                <c:pt idx="6">
                  <c:v>0.30000000000000004</c:v>
                </c:pt>
              </c:numCache>
            </c:numRef>
          </c:val>
          <c:extLst>
            <c:ext xmlns:c16="http://schemas.microsoft.com/office/drawing/2014/chart" uri="{C3380CC4-5D6E-409C-BE32-E72D297353CC}">
              <c16:uniqueId val="{00000002-AB14-4512-8B87-58CA151AAB92}"/>
            </c:ext>
          </c:extLst>
        </c:ser>
        <c:dLbls>
          <c:showLegendKey val="0"/>
          <c:showVal val="0"/>
          <c:showCatName val="0"/>
          <c:showSerName val="0"/>
          <c:showPercent val="0"/>
          <c:showBubbleSize val="0"/>
        </c:dLbls>
        <c:axId val="168139008"/>
        <c:axId val="168149376"/>
      </c:areaChart>
      <c:lineChart>
        <c:grouping val="standard"/>
        <c:varyColors val="0"/>
        <c:ser>
          <c:idx val="3"/>
          <c:order val="0"/>
          <c:tx>
            <c:strRef>
              <c:f>Käsereien!$AP$46</c:f>
              <c:strCache>
                <c:ptCount val="1"/>
                <c:pt idx="0">
                  <c:v>Wert Thema</c:v>
                </c:pt>
              </c:strCache>
            </c:strRef>
          </c:tx>
          <c:spPr>
            <a:ln>
              <a:noFill/>
            </a:ln>
          </c:spPr>
          <c:marker>
            <c:symbol val="circle"/>
            <c:size val="12"/>
            <c:spPr>
              <a:noFill/>
              <a:ln w="19050">
                <a:solidFill>
                  <a:schemeClr val="tx1"/>
                </a:solidFill>
              </a:ln>
            </c:spPr>
          </c:marker>
          <c:dPt>
            <c:idx val="0"/>
            <c:marker>
              <c:symbol val="none"/>
            </c:marker>
            <c:bubble3D val="0"/>
            <c:extLst>
              <c:ext xmlns:c16="http://schemas.microsoft.com/office/drawing/2014/chart" uri="{C3380CC4-5D6E-409C-BE32-E72D297353CC}">
                <c16:uniqueId val="{00000003-AB14-4512-8B87-58CA151AAB92}"/>
              </c:ext>
            </c:extLst>
          </c:dPt>
          <c:dPt>
            <c:idx val="6"/>
            <c:bubble3D val="0"/>
            <c:extLst>
              <c:ext xmlns:c16="http://schemas.microsoft.com/office/drawing/2014/chart" uri="{C3380CC4-5D6E-409C-BE32-E72D297353CC}">
                <c16:uniqueId val="{00000004-AB14-4512-8B87-58CA151AAB92}"/>
              </c:ext>
            </c:extLst>
          </c:dPt>
          <c:cat>
            <c:strRef>
              <c:f>Käsereien!$AO$47:$AO$53</c:f>
              <c:strCache>
                <c:ptCount val="6"/>
                <c:pt idx="1">
                  <c:v>Allgemein</c:v>
                </c:pt>
                <c:pt idx="2">
                  <c:v>Wassersparmassnahmen</c:v>
                </c:pt>
                <c:pt idx="3">
                  <c:v>Reinigung</c:v>
                </c:pt>
                <c:pt idx="4">
                  <c:v>Abwasserbelastung/Verluste</c:v>
                </c:pt>
                <c:pt idx="5">
                  <c:v>Energieverbrauch</c:v>
                </c:pt>
              </c:strCache>
            </c:strRef>
          </c:cat>
          <c:val>
            <c:numRef>
              <c:f>Käsereien!$AP$47:$AP$53</c:f>
              <c:numCache>
                <c:formatCode>0.0</c:formatCode>
                <c:ptCount val="7"/>
                <c:pt idx="1">
                  <c:v>0</c:v>
                </c:pt>
                <c:pt idx="2">
                  <c:v>0</c:v>
                </c:pt>
                <c:pt idx="3">
                  <c:v>0</c:v>
                </c:pt>
                <c:pt idx="4">
                  <c:v>0</c:v>
                </c:pt>
                <c:pt idx="5">
                  <c:v>0</c:v>
                </c:pt>
              </c:numCache>
            </c:numRef>
          </c:val>
          <c:smooth val="0"/>
          <c:extLst>
            <c:ext xmlns:c16="http://schemas.microsoft.com/office/drawing/2014/chart" uri="{C3380CC4-5D6E-409C-BE32-E72D297353CC}">
              <c16:uniqueId val="{00000005-AB14-4512-8B87-58CA151AAB92}"/>
            </c:ext>
          </c:extLst>
        </c:ser>
        <c:dLbls>
          <c:showLegendKey val="0"/>
          <c:showVal val="0"/>
          <c:showCatName val="0"/>
          <c:showSerName val="0"/>
          <c:showPercent val="0"/>
          <c:showBubbleSize val="0"/>
        </c:dLbls>
        <c:marker val="1"/>
        <c:smooth val="0"/>
        <c:axId val="167707008"/>
        <c:axId val="168151296"/>
      </c:lineChart>
      <c:catAx>
        <c:axId val="168139008"/>
        <c:scaling>
          <c:orientation val="minMax"/>
        </c:scaling>
        <c:delete val="0"/>
        <c:axPos val="b"/>
        <c:majorGridlines>
          <c:spPr>
            <a:ln w="19050">
              <a:solidFill>
                <a:schemeClr val="tx1"/>
              </a:solidFill>
            </a:ln>
          </c:spPr>
        </c:majorGridlines>
        <c:numFmt formatCode="General" sourceLinked="0"/>
        <c:majorTickMark val="out"/>
        <c:minorTickMark val="none"/>
        <c:tickLblPos val="nextTo"/>
        <c:spPr>
          <a:ln w="19050">
            <a:noFill/>
          </a:ln>
        </c:spPr>
        <c:txPr>
          <a:bodyPr/>
          <a:lstStyle/>
          <a:p>
            <a:pPr>
              <a:defRPr sz="900" baseline="0"/>
            </a:pPr>
            <a:endParaRPr lang="de-DE"/>
          </a:p>
        </c:txPr>
        <c:crossAx val="168149376"/>
        <c:crossesAt val="-0.1"/>
        <c:auto val="0"/>
        <c:lblAlgn val="ctr"/>
        <c:lblOffset val="100"/>
        <c:noMultiLvlLbl val="0"/>
      </c:catAx>
      <c:valAx>
        <c:axId val="168149376"/>
        <c:scaling>
          <c:orientation val="minMax"/>
          <c:max val="1.1000000000000001"/>
          <c:min val="-0.1"/>
        </c:scaling>
        <c:delete val="0"/>
        <c:axPos val="l"/>
        <c:title>
          <c:tx>
            <c:rich>
              <a:bodyPr rot="0" vert="wordArtVert"/>
              <a:lstStyle/>
              <a:p>
                <a:pPr>
                  <a:defRPr/>
                </a:pPr>
                <a:r>
                  <a:rPr lang="de-CH" sz="800">
                    <a:latin typeface="Arial" pitchFamily="34" charset="0"/>
                    <a:cs typeface="Arial" pitchFamily="34" charset="0"/>
                  </a:rPr>
                  <a:t>Bewertung</a:t>
                </a:r>
              </a:p>
            </c:rich>
          </c:tx>
          <c:layout>
            <c:manualLayout>
              <c:xMode val="edge"/>
              <c:yMode val="edge"/>
              <c:x val="8.0322345638354137E-2"/>
              <c:y val="6.0250208341549046E-2"/>
            </c:manualLayout>
          </c:layout>
          <c:overlay val="0"/>
        </c:title>
        <c:numFmt formatCode="0.00" sourceLinked="1"/>
        <c:majorTickMark val="none"/>
        <c:minorTickMark val="none"/>
        <c:tickLblPos val="none"/>
        <c:spPr>
          <a:ln w="19050">
            <a:solidFill>
              <a:schemeClr val="tx1"/>
            </a:solidFill>
          </a:ln>
        </c:spPr>
        <c:crossAx val="168139008"/>
        <c:crosses val="autoZero"/>
        <c:crossBetween val="between"/>
      </c:valAx>
      <c:valAx>
        <c:axId val="168151296"/>
        <c:scaling>
          <c:orientation val="minMax"/>
          <c:max val="1.1000000000000001"/>
          <c:min val="-0.1"/>
        </c:scaling>
        <c:delete val="0"/>
        <c:axPos val="r"/>
        <c:majorGridlines>
          <c:spPr>
            <a:ln w="19050">
              <a:noFill/>
            </a:ln>
          </c:spPr>
        </c:majorGridlines>
        <c:title>
          <c:tx>
            <c:rich>
              <a:bodyPr rot="0" vert="wordArtVert"/>
              <a:lstStyle/>
              <a:p>
                <a:pPr>
                  <a:defRPr sz="800"/>
                </a:pPr>
                <a:r>
                  <a:rPr lang="de-CH" sz="800">
                    <a:latin typeface="Arial" pitchFamily="34" charset="0"/>
                    <a:cs typeface="Arial" pitchFamily="34" charset="0"/>
                  </a:rPr>
                  <a:t>Bewertung</a:t>
                </a:r>
              </a:p>
            </c:rich>
          </c:tx>
          <c:layout>
            <c:manualLayout>
              <c:xMode val="edge"/>
              <c:yMode val="edge"/>
              <c:x val="0.88494444444444442"/>
              <c:y val="5.4643482064741906E-2"/>
            </c:manualLayout>
          </c:layout>
          <c:overlay val="0"/>
        </c:title>
        <c:numFmt formatCode="General" sourceLinked="1"/>
        <c:majorTickMark val="none"/>
        <c:minorTickMark val="none"/>
        <c:tickLblPos val="none"/>
        <c:spPr>
          <a:ln>
            <a:noFill/>
          </a:ln>
        </c:spPr>
        <c:crossAx val="167707008"/>
        <c:crosses val="max"/>
        <c:crossBetween val="between"/>
      </c:valAx>
      <c:catAx>
        <c:axId val="167707008"/>
        <c:scaling>
          <c:orientation val="minMax"/>
        </c:scaling>
        <c:delete val="1"/>
        <c:axPos val="b"/>
        <c:numFmt formatCode="General" sourceLinked="1"/>
        <c:majorTickMark val="out"/>
        <c:minorTickMark val="none"/>
        <c:tickLblPos val="nextTo"/>
        <c:crossAx val="168151296"/>
        <c:crosses val="autoZero"/>
        <c:auto val="1"/>
        <c:lblAlgn val="ctr"/>
        <c:lblOffset val="100"/>
        <c:noMultiLvlLbl val="0"/>
      </c:catAx>
    </c:plotArea>
    <c:plotVisOnly val="1"/>
    <c:dispBlanksAs val="gap"/>
    <c:showDLblsOverMax val="0"/>
  </c:chart>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711561404474787E-2"/>
          <c:y val="3.7337885911671205E-2"/>
          <c:w val="0.86912284565827869"/>
          <c:h val="0.64071598130115537"/>
        </c:manualLayout>
      </c:layout>
      <c:areaChart>
        <c:grouping val="stacked"/>
        <c:varyColors val="0"/>
        <c:ser>
          <c:idx val="0"/>
          <c:order val="1"/>
          <c:tx>
            <c:strRef>
              <c:f>Fleischverarbeitung!$AH$60</c:f>
              <c:strCache>
                <c:ptCount val="1"/>
                <c:pt idx="0">
                  <c:v>Rot</c:v>
                </c:pt>
              </c:strCache>
            </c:strRef>
          </c:tx>
          <c:spPr>
            <a:solidFill>
              <a:srgbClr val="FF0000">
                <a:alpha val="80000"/>
              </a:srgbClr>
            </a:solidFill>
            <a:ln w="25400">
              <a:noFill/>
            </a:ln>
          </c:spPr>
          <c:cat>
            <c:strRef>
              <c:f>Fleischverarbeitung!$AD$61:$AD$66</c:f>
              <c:strCache>
                <c:ptCount val="5"/>
                <c:pt idx="1">
                  <c:v>Wassersparmassnahmen</c:v>
                </c:pt>
                <c:pt idx="2">
                  <c:v>Reinigung</c:v>
                </c:pt>
                <c:pt idx="3">
                  <c:v>Abwasserbelastung</c:v>
                </c:pt>
                <c:pt idx="4">
                  <c:v>Energieverbrauch</c:v>
                </c:pt>
              </c:strCache>
            </c:strRef>
          </c:cat>
          <c:val>
            <c:numRef>
              <c:f>Fleischverarbeitung!$AH$61:$AH$66</c:f>
              <c:numCache>
                <c:formatCode>0.00</c:formatCode>
                <c:ptCount val="6"/>
                <c:pt idx="0">
                  <c:v>0.4</c:v>
                </c:pt>
                <c:pt idx="1">
                  <c:v>0.4</c:v>
                </c:pt>
                <c:pt idx="2">
                  <c:v>0.4</c:v>
                </c:pt>
                <c:pt idx="3">
                  <c:v>0.4</c:v>
                </c:pt>
                <c:pt idx="4">
                  <c:v>0.4</c:v>
                </c:pt>
                <c:pt idx="5">
                  <c:v>0.4</c:v>
                </c:pt>
              </c:numCache>
            </c:numRef>
          </c:val>
          <c:extLst>
            <c:ext xmlns:c16="http://schemas.microsoft.com/office/drawing/2014/chart" uri="{C3380CC4-5D6E-409C-BE32-E72D297353CC}">
              <c16:uniqueId val="{00000000-3C65-4095-ABD5-DDFB962470E7}"/>
            </c:ext>
          </c:extLst>
        </c:ser>
        <c:ser>
          <c:idx val="1"/>
          <c:order val="2"/>
          <c:tx>
            <c:strRef>
              <c:f>Fleischverarbeitung!$AG$60</c:f>
              <c:strCache>
                <c:ptCount val="1"/>
                <c:pt idx="0">
                  <c:v>Orange</c:v>
                </c:pt>
              </c:strCache>
            </c:strRef>
          </c:tx>
          <c:spPr>
            <a:solidFill>
              <a:srgbClr val="FFC000">
                <a:alpha val="80000"/>
              </a:srgbClr>
            </a:solidFill>
            <a:ln w="25400">
              <a:noFill/>
            </a:ln>
          </c:spPr>
          <c:cat>
            <c:strRef>
              <c:f>Fleischverarbeitung!$AD$61:$AD$66</c:f>
              <c:strCache>
                <c:ptCount val="5"/>
                <c:pt idx="1">
                  <c:v>Wassersparmassnahmen</c:v>
                </c:pt>
                <c:pt idx="2">
                  <c:v>Reinigung</c:v>
                </c:pt>
                <c:pt idx="3">
                  <c:v>Abwasserbelastung</c:v>
                </c:pt>
                <c:pt idx="4">
                  <c:v>Energieverbrauch</c:v>
                </c:pt>
              </c:strCache>
            </c:strRef>
          </c:cat>
          <c:val>
            <c:numRef>
              <c:f>Fleischverarbeitung!$AG$61:$AG$66</c:f>
              <c:numCache>
                <c:formatCode>0.00</c:formatCode>
                <c:ptCount val="6"/>
                <c:pt idx="0">
                  <c:v>0.4</c:v>
                </c:pt>
                <c:pt idx="1">
                  <c:v>0.4</c:v>
                </c:pt>
                <c:pt idx="2">
                  <c:v>0.4</c:v>
                </c:pt>
                <c:pt idx="3">
                  <c:v>0.4</c:v>
                </c:pt>
                <c:pt idx="4">
                  <c:v>0.4</c:v>
                </c:pt>
                <c:pt idx="5">
                  <c:v>0.4</c:v>
                </c:pt>
              </c:numCache>
            </c:numRef>
          </c:val>
          <c:extLst>
            <c:ext xmlns:c16="http://schemas.microsoft.com/office/drawing/2014/chart" uri="{C3380CC4-5D6E-409C-BE32-E72D297353CC}">
              <c16:uniqueId val="{00000001-3C65-4095-ABD5-DDFB962470E7}"/>
            </c:ext>
          </c:extLst>
        </c:ser>
        <c:ser>
          <c:idx val="2"/>
          <c:order val="3"/>
          <c:tx>
            <c:strRef>
              <c:f>Fleischverarbeitung!$AF$60</c:f>
              <c:strCache>
                <c:ptCount val="1"/>
                <c:pt idx="0">
                  <c:v>Grün</c:v>
                </c:pt>
              </c:strCache>
            </c:strRef>
          </c:tx>
          <c:spPr>
            <a:solidFill>
              <a:srgbClr val="92D050">
                <a:alpha val="80000"/>
              </a:srgbClr>
            </a:solidFill>
            <a:ln w="25400">
              <a:noFill/>
            </a:ln>
          </c:spPr>
          <c:cat>
            <c:strRef>
              <c:f>Fleischverarbeitung!$AD$61:$AD$66</c:f>
              <c:strCache>
                <c:ptCount val="5"/>
                <c:pt idx="1">
                  <c:v>Wassersparmassnahmen</c:v>
                </c:pt>
                <c:pt idx="2">
                  <c:v>Reinigung</c:v>
                </c:pt>
                <c:pt idx="3">
                  <c:v>Abwasserbelastung</c:v>
                </c:pt>
                <c:pt idx="4">
                  <c:v>Energieverbrauch</c:v>
                </c:pt>
              </c:strCache>
            </c:strRef>
          </c:cat>
          <c:val>
            <c:numRef>
              <c:f>Fleischverarbeitung!$AF$61:$AF$66</c:f>
              <c:numCache>
                <c:formatCode>0.00</c:formatCode>
                <c:ptCount val="6"/>
                <c:pt idx="0">
                  <c:v>0.30000000000000004</c:v>
                </c:pt>
                <c:pt idx="1">
                  <c:v>0.30000000000000004</c:v>
                </c:pt>
                <c:pt idx="2">
                  <c:v>0.30000000000000004</c:v>
                </c:pt>
                <c:pt idx="3">
                  <c:v>0.30000000000000004</c:v>
                </c:pt>
                <c:pt idx="4">
                  <c:v>0.30000000000000004</c:v>
                </c:pt>
                <c:pt idx="5">
                  <c:v>0.30000000000000004</c:v>
                </c:pt>
              </c:numCache>
            </c:numRef>
          </c:val>
          <c:extLst>
            <c:ext xmlns:c16="http://schemas.microsoft.com/office/drawing/2014/chart" uri="{C3380CC4-5D6E-409C-BE32-E72D297353CC}">
              <c16:uniqueId val="{00000002-3C65-4095-ABD5-DDFB962470E7}"/>
            </c:ext>
          </c:extLst>
        </c:ser>
        <c:dLbls>
          <c:showLegendKey val="0"/>
          <c:showVal val="0"/>
          <c:showCatName val="0"/>
          <c:showSerName val="0"/>
          <c:showPercent val="0"/>
          <c:showBubbleSize val="0"/>
        </c:dLbls>
        <c:axId val="168497536"/>
        <c:axId val="168499456"/>
      </c:areaChart>
      <c:barChart>
        <c:barDir val="col"/>
        <c:grouping val="clustered"/>
        <c:varyColors val="0"/>
        <c:ser>
          <c:idx val="4"/>
          <c:order val="4"/>
          <c:tx>
            <c:strRef>
              <c:f>Fleischverarbeitung!$AN$60</c:f>
              <c:strCache>
                <c:ptCount val="1"/>
                <c:pt idx="0">
                  <c:v>Balken Abwasser</c:v>
                </c:pt>
              </c:strCache>
            </c:strRef>
          </c:tx>
          <c:spPr>
            <a:solidFill>
              <a:srgbClr val="FF0000"/>
            </a:solidFill>
            <a:ln w="28575">
              <a:noFill/>
            </a:ln>
          </c:spPr>
          <c:invertIfNegative val="0"/>
          <c:cat>
            <c:strRef>
              <c:f>Fleischverarbeitung!$AD$61:$AD$66</c:f>
              <c:strCache>
                <c:ptCount val="5"/>
                <c:pt idx="1">
                  <c:v>Wassersparmassnahmen</c:v>
                </c:pt>
                <c:pt idx="2">
                  <c:v>Reinigung</c:v>
                </c:pt>
                <c:pt idx="3">
                  <c:v>Abwasserbelastung</c:v>
                </c:pt>
                <c:pt idx="4">
                  <c:v>Energieverbrauch</c:v>
                </c:pt>
              </c:strCache>
            </c:strRef>
          </c:cat>
          <c:val>
            <c:numRef>
              <c:f>Fleischverarbeitung!$AN$61:$AN$66</c:f>
              <c:numCache>
                <c:formatCode>General</c:formatCode>
                <c:ptCount val="6"/>
                <c:pt idx="3">
                  <c:v>0.85</c:v>
                </c:pt>
              </c:numCache>
            </c:numRef>
          </c:val>
          <c:extLst>
            <c:ext xmlns:c16="http://schemas.microsoft.com/office/drawing/2014/chart" uri="{C3380CC4-5D6E-409C-BE32-E72D297353CC}">
              <c16:uniqueId val="{00000003-3C65-4095-ABD5-DDFB962470E7}"/>
            </c:ext>
          </c:extLst>
        </c:ser>
        <c:dLbls>
          <c:showLegendKey val="0"/>
          <c:showVal val="0"/>
          <c:showCatName val="0"/>
          <c:showSerName val="0"/>
          <c:showPercent val="0"/>
          <c:showBubbleSize val="0"/>
        </c:dLbls>
        <c:gapWidth val="1"/>
        <c:axId val="168503552"/>
        <c:axId val="168501632"/>
      </c:barChart>
      <c:lineChart>
        <c:grouping val="standard"/>
        <c:varyColors val="0"/>
        <c:ser>
          <c:idx val="3"/>
          <c:order val="0"/>
          <c:tx>
            <c:strRef>
              <c:f>Fleischverarbeitung!$AE$60</c:f>
              <c:strCache>
                <c:ptCount val="1"/>
                <c:pt idx="0">
                  <c:v>Wert Thema</c:v>
                </c:pt>
              </c:strCache>
            </c:strRef>
          </c:tx>
          <c:spPr>
            <a:ln>
              <a:noFill/>
            </a:ln>
          </c:spPr>
          <c:marker>
            <c:symbol val="circle"/>
            <c:size val="12"/>
            <c:spPr>
              <a:noFill/>
              <a:ln w="19050">
                <a:solidFill>
                  <a:schemeClr val="tx1"/>
                </a:solidFill>
              </a:ln>
            </c:spPr>
          </c:marker>
          <c:dPt>
            <c:idx val="0"/>
            <c:marker>
              <c:symbol val="none"/>
            </c:marker>
            <c:bubble3D val="0"/>
            <c:extLst>
              <c:ext xmlns:c16="http://schemas.microsoft.com/office/drawing/2014/chart" uri="{C3380CC4-5D6E-409C-BE32-E72D297353CC}">
                <c16:uniqueId val="{00000004-3C65-4095-ABD5-DDFB962470E7}"/>
              </c:ext>
            </c:extLst>
          </c:dPt>
          <c:dPt>
            <c:idx val="6"/>
            <c:bubble3D val="0"/>
            <c:extLst>
              <c:ext xmlns:c16="http://schemas.microsoft.com/office/drawing/2014/chart" uri="{C3380CC4-5D6E-409C-BE32-E72D297353CC}">
                <c16:uniqueId val="{00000005-3C65-4095-ABD5-DDFB962470E7}"/>
              </c:ext>
            </c:extLst>
          </c:dPt>
          <c:cat>
            <c:strRef>
              <c:f>Fleischverarbeitung!$AD$61:$AD$66</c:f>
              <c:strCache>
                <c:ptCount val="5"/>
                <c:pt idx="1">
                  <c:v>Wassersparmassnahmen</c:v>
                </c:pt>
                <c:pt idx="2">
                  <c:v>Reinigung</c:v>
                </c:pt>
                <c:pt idx="3">
                  <c:v>Abwasserbelastung</c:v>
                </c:pt>
                <c:pt idx="4">
                  <c:v>Energieverbrauch</c:v>
                </c:pt>
              </c:strCache>
            </c:strRef>
          </c:cat>
          <c:val>
            <c:numRef>
              <c:f>Fleischverarbeitung!$AE$61:$AE$66</c:f>
              <c:numCache>
                <c:formatCode>0.00</c:formatCode>
                <c:ptCount val="6"/>
                <c:pt idx="1">
                  <c:v>0</c:v>
                </c:pt>
                <c:pt idx="2" formatCode="0.0">
                  <c:v>0</c:v>
                </c:pt>
                <c:pt idx="3" formatCode="0.0">
                  <c:v>0</c:v>
                </c:pt>
                <c:pt idx="4" formatCode="0.0">
                  <c:v>0</c:v>
                </c:pt>
              </c:numCache>
            </c:numRef>
          </c:val>
          <c:smooth val="0"/>
          <c:extLst>
            <c:ext xmlns:c16="http://schemas.microsoft.com/office/drawing/2014/chart" uri="{C3380CC4-5D6E-409C-BE32-E72D297353CC}">
              <c16:uniqueId val="{00000006-3C65-4095-ABD5-DDFB962470E7}"/>
            </c:ext>
          </c:extLst>
        </c:ser>
        <c:dLbls>
          <c:showLegendKey val="0"/>
          <c:showVal val="0"/>
          <c:showCatName val="0"/>
          <c:showSerName val="0"/>
          <c:showPercent val="0"/>
          <c:showBubbleSize val="0"/>
        </c:dLbls>
        <c:marker val="1"/>
        <c:smooth val="0"/>
        <c:axId val="168503552"/>
        <c:axId val="168501632"/>
      </c:lineChart>
      <c:catAx>
        <c:axId val="168497536"/>
        <c:scaling>
          <c:orientation val="minMax"/>
        </c:scaling>
        <c:delete val="0"/>
        <c:axPos val="b"/>
        <c:majorGridlines>
          <c:spPr>
            <a:ln w="19050">
              <a:solidFill>
                <a:schemeClr val="tx1"/>
              </a:solidFill>
            </a:ln>
          </c:spPr>
        </c:majorGridlines>
        <c:numFmt formatCode="General" sourceLinked="1"/>
        <c:majorTickMark val="out"/>
        <c:minorTickMark val="none"/>
        <c:tickLblPos val="nextTo"/>
        <c:spPr>
          <a:ln w="19050">
            <a:noFill/>
          </a:ln>
        </c:spPr>
        <c:txPr>
          <a:bodyPr rot="-2400000"/>
          <a:lstStyle/>
          <a:p>
            <a:pPr>
              <a:defRPr sz="900" baseline="0"/>
            </a:pPr>
            <a:endParaRPr lang="de-DE"/>
          </a:p>
        </c:txPr>
        <c:crossAx val="168499456"/>
        <c:crossesAt val="-0.1"/>
        <c:auto val="1"/>
        <c:lblAlgn val="ctr"/>
        <c:lblOffset val="100"/>
        <c:noMultiLvlLbl val="0"/>
      </c:catAx>
      <c:valAx>
        <c:axId val="168499456"/>
        <c:scaling>
          <c:orientation val="minMax"/>
          <c:max val="1.1000000000000001"/>
          <c:min val="-0.1"/>
        </c:scaling>
        <c:delete val="0"/>
        <c:axPos val="l"/>
        <c:title>
          <c:tx>
            <c:rich>
              <a:bodyPr rot="0" vert="wordArtVert"/>
              <a:lstStyle/>
              <a:p>
                <a:pPr>
                  <a:defRPr/>
                </a:pPr>
                <a:r>
                  <a:rPr lang="de-CH" sz="800">
                    <a:latin typeface="Arial" pitchFamily="34" charset="0"/>
                    <a:cs typeface="Arial" pitchFamily="34" charset="0"/>
                  </a:rPr>
                  <a:t>Bewertung</a:t>
                </a:r>
              </a:p>
            </c:rich>
          </c:tx>
          <c:layout>
            <c:manualLayout>
              <c:xMode val="edge"/>
              <c:yMode val="edge"/>
              <c:x val="0.10501367399005195"/>
              <c:y val="6.0250133512761928E-2"/>
            </c:manualLayout>
          </c:layout>
          <c:overlay val="0"/>
        </c:title>
        <c:numFmt formatCode="0.00" sourceLinked="1"/>
        <c:majorTickMark val="none"/>
        <c:minorTickMark val="none"/>
        <c:tickLblPos val="none"/>
        <c:spPr>
          <a:ln w="19050">
            <a:solidFill>
              <a:schemeClr val="tx1"/>
            </a:solidFill>
          </a:ln>
        </c:spPr>
        <c:crossAx val="168497536"/>
        <c:crosses val="autoZero"/>
        <c:crossBetween val="between"/>
      </c:valAx>
      <c:valAx>
        <c:axId val="168501632"/>
        <c:scaling>
          <c:orientation val="minMax"/>
          <c:max val="1.1000000000000001"/>
          <c:min val="-0.1"/>
        </c:scaling>
        <c:delete val="0"/>
        <c:axPos val="r"/>
        <c:majorGridlines>
          <c:spPr>
            <a:ln w="19050">
              <a:noFill/>
            </a:ln>
          </c:spPr>
        </c:majorGridlines>
        <c:title>
          <c:tx>
            <c:rich>
              <a:bodyPr rot="0" vert="wordArtVert"/>
              <a:lstStyle/>
              <a:p>
                <a:pPr>
                  <a:defRPr sz="800"/>
                </a:pPr>
                <a:r>
                  <a:rPr lang="de-CH" sz="800">
                    <a:latin typeface="Arial" pitchFamily="34" charset="0"/>
                    <a:cs typeface="Arial" pitchFamily="34" charset="0"/>
                  </a:rPr>
                  <a:t>Bewertung</a:t>
                </a:r>
              </a:p>
            </c:rich>
          </c:tx>
          <c:layout>
            <c:manualLayout>
              <c:xMode val="edge"/>
              <c:yMode val="edge"/>
              <c:x val="0.93855753170713796"/>
              <c:y val="5.4643479754289466E-2"/>
            </c:manualLayout>
          </c:layout>
          <c:overlay val="0"/>
        </c:title>
        <c:numFmt formatCode="General" sourceLinked="1"/>
        <c:majorTickMark val="none"/>
        <c:minorTickMark val="none"/>
        <c:tickLblPos val="none"/>
        <c:spPr>
          <a:ln>
            <a:noFill/>
          </a:ln>
        </c:spPr>
        <c:crossAx val="168503552"/>
        <c:crosses val="max"/>
        <c:crossBetween val="between"/>
      </c:valAx>
      <c:catAx>
        <c:axId val="168503552"/>
        <c:scaling>
          <c:orientation val="minMax"/>
        </c:scaling>
        <c:delete val="1"/>
        <c:axPos val="b"/>
        <c:numFmt formatCode="General" sourceLinked="1"/>
        <c:majorTickMark val="out"/>
        <c:minorTickMark val="none"/>
        <c:tickLblPos val="nextTo"/>
        <c:crossAx val="168501632"/>
        <c:crossesAt val="-0.1"/>
        <c:auto val="1"/>
        <c:lblAlgn val="ctr"/>
        <c:lblOffset val="100"/>
        <c:noMultiLvlLbl val="0"/>
      </c:catAx>
    </c:plotArea>
    <c:plotVisOnly val="1"/>
    <c:dispBlanksAs val="gap"/>
    <c:showDLblsOverMax val="0"/>
  </c:chart>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381526104417664E-2"/>
          <c:y val="4.569055036344756E-2"/>
          <c:w val="0.81038896015729212"/>
          <c:h val="0.67934260553879366"/>
        </c:manualLayout>
      </c:layout>
      <c:areaChart>
        <c:grouping val="stacked"/>
        <c:varyColors val="0"/>
        <c:ser>
          <c:idx val="0"/>
          <c:order val="1"/>
          <c:tx>
            <c:strRef>
              <c:f>Getränke!$AG$48</c:f>
              <c:strCache>
                <c:ptCount val="1"/>
                <c:pt idx="0">
                  <c:v>Rot</c:v>
                </c:pt>
              </c:strCache>
            </c:strRef>
          </c:tx>
          <c:spPr>
            <a:solidFill>
              <a:srgbClr val="FF0000">
                <a:alpha val="80000"/>
              </a:srgbClr>
            </a:solidFill>
            <a:ln w="25400">
              <a:noFill/>
            </a:ln>
          </c:spPr>
          <c:cat>
            <c:strRef>
              <c:f>Getränke!$AC$49:$AC$54</c:f>
              <c:strCache>
                <c:ptCount val="5"/>
                <c:pt idx="1">
                  <c:v>Wassersparmassnahmen</c:v>
                </c:pt>
                <c:pt idx="2">
                  <c:v>Reinigung</c:v>
                </c:pt>
                <c:pt idx="3">
                  <c:v>Abwasserbelastung/Verluste</c:v>
                </c:pt>
                <c:pt idx="4">
                  <c:v>Energieverbrauch</c:v>
                </c:pt>
              </c:strCache>
            </c:strRef>
          </c:cat>
          <c:val>
            <c:numRef>
              <c:f>Getränke!$AG$49:$AG$54</c:f>
              <c:numCache>
                <c:formatCode>0.00</c:formatCode>
                <c:ptCount val="6"/>
                <c:pt idx="0">
                  <c:v>0.4</c:v>
                </c:pt>
                <c:pt idx="1">
                  <c:v>0.4</c:v>
                </c:pt>
                <c:pt idx="2">
                  <c:v>0.4</c:v>
                </c:pt>
                <c:pt idx="3">
                  <c:v>0.4</c:v>
                </c:pt>
                <c:pt idx="4">
                  <c:v>0.4</c:v>
                </c:pt>
                <c:pt idx="5">
                  <c:v>0.4</c:v>
                </c:pt>
              </c:numCache>
            </c:numRef>
          </c:val>
          <c:extLst>
            <c:ext xmlns:c16="http://schemas.microsoft.com/office/drawing/2014/chart" uri="{C3380CC4-5D6E-409C-BE32-E72D297353CC}">
              <c16:uniqueId val="{00000000-1793-4C47-BD25-E11D27E76228}"/>
            </c:ext>
          </c:extLst>
        </c:ser>
        <c:ser>
          <c:idx val="1"/>
          <c:order val="2"/>
          <c:tx>
            <c:strRef>
              <c:f>Getränke!$AF$48</c:f>
              <c:strCache>
                <c:ptCount val="1"/>
                <c:pt idx="0">
                  <c:v>Orange</c:v>
                </c:pt>
              </c:strCache>
            </c:strRef>
          </c:tx>
          <c:spPr>
            <a:solidFill>
              <a:srgbClr val="FFC000">
                <a:alpha val="80000"/>
              </a:srgbClr>
            </a:solidFill>
            <a:ln w="25400">
              <a:noFill/>
            </a:ln>
          </c:spPr>
          <c:cat>
            <c:strRef>
              <c:f>Getränke!$AC$49:$AC$54</c:f>
              <c:strCache>
                <c:ptCount val="5"/>
                <c:pt idx="1">
                  <c:v>Wassersparmassnahmen</c:v>
                </c:pt>
                <c:pt idx="2">
                  <c:v>Reinigung</c:v>
                </c:pt>
                <c:pt idx="3">
                  <c:v>Abwasserbelastung/Verluste</c:v>
                </c:pt>
                <c:pt idx="4">
                  <c:v>Energieverbrauch</c:v>
                </c:pt>
              </c:strCache>
            </c:strRef>
          </c:cat>
          <c:val>
            <c:numRef>
              <c:f>Getränke!$AF$49:$AF$54</c:f>
              <c:numCache>
                <c:formatCode>0.00</c:formatCode>
                <c:ptCount val="6"/>
                <c:pt idx="0">
                  <c:v>0.4</c:v>
                </c:pt>
                <c:pt idx="1">
                  <c:v>0.4</c:v>
                </c:pt>
                <c:pt idx="2">
                  <c:v>0.4</c:v>
                </c:pt>
                <c:pt idx="3">
                  <c:v>0.4</c:v>
                </c:pt>
                <c:pt idx="4">
                  <c:v>0.4</c:v>
                </c:pt>
                <c:pt idx="5">
                  <c:v>0.4</c:v>
                </c:pt>
              </c:numCache>
            </c:numRef>
          </c:val>
          <c:extLst>
            <c:ext xmlns:c16="http://schemas.microsoft.com/office/drawing/2014/chart" uri="{C3380CC4-5D6E-409C-BE32-E72D297353CC}">
              <c16:uniqueId val="{00000001-1793-4C47-BD25-E11D27E76228}"/>
            </c:ext>
          </c:extLst>
        </c:ser>
        <c:ser>
          <c:idx val="2"/>
          <c:order val="3"/>
          <c:tx>
            <c:strRef>
              <c:f>Getränke!$AE$48</c:f>
              <c:strCache>
                <c:ptCount val="1"/>
                <c:pt idx="0">
                  <c:v>Grün</c:v>
                </c:pt>
              </c:strCache>
            </c:strRef>
          </c:tx>
          <c:spPr>
            <a:solidFill>
              <a:srgbClr val="92D050">
                <a:alpha val="80000"/>
              </a:srgbClr>
            </a:solidFill>
            <a:ln w="25400">
              <a:noFill/>
            </a:ln>
          </c:spPr>
          <c:cat>
            <c:strRef>
              <c:f>Getränke!$AC$49:$AC$54</c:f>
              <c:strCache>
                <c:ptCount val="5"/>
                <c:pt idx="1">
                  <c:v>Wassersparmassnahmen</c:v>
                </c:pt>
                <c:pt idx="2">
                  <c:v>Reinigung</c:v>
                </c:pt>
                <c:pt idx="3">
                  <c:v>Abwasserbelastung/Verluste</c:v>
                </c:pt>
                <c:pt idx="4">
                  <c:v>Energieverbrauch</c:v>
                </c:pt>
              </c:strCache>
            </c:strRef>
          </c:cat>
          <c:val>
            <c:numRef>
              <c:f>Getränke!$AE$49:$AE$54</c:f>
              <c:numCache>
                <c:formatCode>0.00</c:formatCode>
                <c:ptCount val="6"/>
                <c:pt idx="0">
                  <c:v>0.30000000000000004</c:v>
                </c:pt>
                <c:pt idx="1">
                  <c:v>0.30000000000000004</c:v>
                </c:pt>
                <c:pt idx="2">
                  <c:v>0.30000000000000004</c:v>
                </c:pt>
                <c:pt idx="3">
                  <c:v>0.30000000000000004</c:v>
                </c:pt>
                <c:pt idx="4">
                  <c:v>0.30000000000000004</c:v>
                </c:pt>
                <c:pt idx="5">
                  <c:v>0.30000000000000004</c:v>
                </c:pt>
              </c:numCache>
            </c:numRef>
          </c:val>
          <c:extLst>
            <c:ext xmlns:c16="http://schemas.microsoft.com/office/drawing/2014/chart" uri="{C3380CC4-5D6E-409C-BE32-E72D297353CC}">
              <c16:uniqueId val="{00000002-1793-4C47-BD25-E11D27E76228}"/>
            </c:ext>
          </c:extLst>
        </c:ser>
        <c:dLbls>
          <c:showLegendKey val="0"/>
          <c:showVal val="0"/>
          <c:showCatName val="0"/>
          <c:showSerName val="0"/>
          <c:showPercent val="0"/>
          <c:showBubbleSize val="0"/>
        </c:dLbls>
        <c:axId val="169297408"/>
        <c:axId val="169299328"/>
      </c:areaChart>
      <c:lineChart>
        <c:grouping val="standard"/>
        <c:varyColors val="0"/>
        <c:ser>
          <c:idx val="3"/>
          <c:order val="0"/>
          <c:tx>
            <c:strRef>
              <c:f>Getränke!$AD$48</c:f>
              <c:strCache>
                <c:ptCount val="1"/>
                <c:pt idx="0">
                  <c:v>Wert Thema</c:v>
                </c:pt>
              </c:strCache>
            </c:strRef>
          </c:tx>
          <c:spPr>
            <a:ln>
              <a:noFill/>
            </a:ln>
          </c:spPr>
          <c:marker>
            <c:symbol val="circle"/>
            <c:size val="12"/>
            <c:spPr>
              <a:noFill/>
              <a:ln w="19050">
                <a:solidFill>
                  <a:schemeClr val="tx1"/>
                </a:solidFill>
              </a:ln>
            </c:spPr>
          </c:marker>
          <c:dPt>
            <c:idx val="0"/>
            <c:marker>
              <c:symbol val="none"/>
            </c:marker>
            <c:bubble3D val="0"/>
            <c:extLst>
              <c:ext xmlns:c16="http://schemas.microsoft.com/office/drawing/2014/chart" uri="{C3380CC4-5D6E-409C-BE32-E72D297353CC}">
                <c16:uniqueId val="{00000003-1793-4C47-BD25-E11D27E76228}"/>
              </c:ext>
            </c:extLst>
          </c:dPt>
          <c:dPt>
            <c:idx val="6"/>
            <c:bubble3D val="0"/>
            <c:extLst>
              <c:ext xmlns:c16="http://schemas.microsoft.com/office/drawing/2014/chart" uri="{C3380CC4-5D6E-409C-BE32-E72D297353CC}">
                <c16:uniqueId val="{00000004-1793-4C47-BD25-E11D27E76228}"/>
              </c:ext>
            </c:extLst>
          </c:dPt>
          <c:cat>
            <c:strRef>
              <c:f>Getränke!$AC$49:$AC$54</c:f>
              <c:strCache>
                <c:ptCount val="5"/>
                <c:pt idx="1">
                  <c:v>Wassersparmassnahmen</c:v>
                </c:pt>
                <c:pt idx="2">
                  <c:v>Reinigung</c:v>
                </c:pt>
                <c:pt idx="3">
                  <c:v>Abwasserbelastung/Verluste</c:v>
                </c:pt>
                <c:pt idx="4">
                  <c:v>Energieverbrauch</c:v>
                </c:pt>
              </c:strCache>
            </c:strRef>
          </c:cat>
          <c:val>
            <c:numRef>
              <c:f>Getränke!$AD$49:$AD$54</c:f>
              <c:numCache>
                <c:formatCode>0.00</c:formatCode>
                <c:ptCount val="6"/>
                <c:pt idx="1">
                  <c:v>0</c:v>
                </c:pt>
                <c:pt idx="2">
                  <c:v>0</c:v>
                </c:pt>
                <c:pt idx="3">
                  <c:v>0</c:v>
                </c:pt>
                <c:pt idx="4">
                  <c:v>0</c:v>
                </c:pt>
              </c:numCache>
            </c:numRef>
          </c:val>
          <c:smooth val="0"/>
          <c:extLst>
            <c:ext xmlns:c16="http://schemas.microsoft.com/office/drawing/2014/chart" uri="{C3380CC4-5D6E-409C-BE32-E72D297353CC}">
              <c16:uniqueId val="{00000005-1793-4C47-BD25-E11D27E76228}"/>
            </c:ext>
          </c:extLst>
        </c:ser>
        <c:dLbls>
          <c:showLegendKey val="0"/>
          <c:showVal val="0"/>
          <c:showCatName val="0"/>
          <c:showSerName val="0"/>
          <c:showPercent val="0"/>
          <c:showBubbleSize val="0"/>
        </c:dLbls>
        <c:marker val="1"/>
        <c:smooth val="0"/>
        <c:axId val="169307520"/>
        <c:axId val="169305600"/>
      </c:lineChart>
      <c:catAx>
        <c:axId val="169297408"/>
        <c:scaling>
          <c:orientation val="minMax"/>
        </c:scaling>
        <c:delete val="0"/>
        <c:axPos val="b"/>
        <c:majorGridlines>
          <c:spPr>
            <a:ln w="19050">
              <a:solidFill>
                <a:schemeClr val="tx1"/>
              </a:solidFill>
            </a:ln>
          </c:spPr>
        </c:majorGridlines>
        <c:numFmt formatCode="General" sourceLinked="0"/>
        <c:majorTickMark val="out"/>
        <c:minorTickMark val="none"/>
        <c:tickLblPos val="nextTo"/>
        <c:spPr>
          <a:ln w="19050">
            <a:noFill/>
          </a:ln>
        </c:spPr>
        <c:txPr>
          <a:bodyPr rot="-1320000"/>
          <a:lstStyle/>
          <a:p>
            <a:pPr>
              <a:defRPr sz="900" baseline="0"/>
            </a:pPr>
            <a:endParaRPr lang="de-DE"/>
          </a:p>
        </c:txPr>
        <c:crossAx val="169299328"/>
        <c:crossesAt val="-0.1"/>
        <c:auto val="0"/>
        <c:lblAlgn val="ctr"/>
        <c:lblOffset val="100"/>
        <c:noMultiLvlLbl val="0"/>
      </c:catAx>
      <c:valAx>
        <c:axId val="169299328"/>
        <c:scaling>
          <c:orientation val="minMax"/>
          <c:max val="1.1000000000000001"/>
          <c:min val="-0.1"/>
        </c:scaling>
        <c:delete val="0"/>
        <c:axPos val="l"/>
        <c:title>
          <c:tx>
            <c:rich>
              <a:bodyPr rot="0" vert="wordArtVert"/>
              <a:lstStyle/>
              <a:p>
                <a:pPr>
                  <a:defRPr sz="1100"/>
                </a:pPr>
                <a:r>
                  <a:rPr lang="de-CH" sz="1100">
                    <a:latin typeface="Arial" pitchFamily="34" charset="0"/>
                    <a:cs typeface="Arial" pitchFamily="34" charset="0"/>
                  </a:rPr>
                  <a:t>Bewertung</a:t>
                </a:r>
              </a:p>
            </c:rich>
          </c:tx>
          <c:layout>
            <c:manualLayout>
              <c:xMode val="edge"/>
              <c:yMode val="edge"/>
              <c:x val="0.12923903854611821"/>
              <c:y val="4.9410138605477993E-2"/>
            </c:manualLayout>
          </c:layout>
          <c:overlay val="0"/>
        </c:title>
        <c:numFmt formatCode="0.00" sourceLinked="1"/>
        <c:majorTickMark val="none"/>
        <c:minorTickMark val="none"/>
        <c:tickLblPos val="none"/>
        <c:spPr>
          <a:ln w="19050">
            <a:solidFill>
              <a:schemeClr val="tx1"/>
            </a:solidFill>
          </a:ln>
        </c:spPr>
        <c:crossAx val="169297408"/>
        <c:crosses val="autoZero"/>
        <c:crossBetween val="between"/>
      </c:valAx>
      <c:valAx>
        <c:axId val="169305600"/>
        <c:scaling>
          <c:orientation val="minMax"/>
          <c:max val="1.1000000000000001"/>
          <c:min val="-0.1"/>
        </c:scaling>
        <c:delete val="0"/>
        <c:axPos val="r"/>
        <c:majorGridlines>
          <c:spPr>
            <a:ln w="19050">
              <a:noFill/>
            </a:ln>
          </c:spPr>
        </c:majorGridlines>
        <c:title>
          <c:tx>
            <c:rich>
              <a:bodyPr rot="0" vert="wordArtVert"/>
              <a:lstStyle/>
              <a:p>
                <a:pPr>
                  <a:defRPr sz="1100"/>
                </a:pPr>
                <a:r>
                  <a:rPr lang="de-CH" sz="1100">
                    <a:latin typeface="Arial" pitchFamily="34" charset="0"/>
                    <a:cs typeface="Arial" pitchFamily="34" charset="0"/>
                  </a:rPr>
                  <a:t>Bewertung</a:t>
                </a:r>
              </a:p>
            </c:rich>
          </c:tx>
          <c:layout>
            <c:manualLayout>
              <c:xMode val="edge"/>
              <c:yMode val="edge"/>
              <c:x val="0.89749115711669059"/>
              <c:y val="6.2950950231629152E-2"/>
            </c:manualLayout>
          </c:layout>
          <c:overlay val="0"/>
        </c:title>
        <c:numFmt formatCode="General" sourceLinked="1"/>
        <c:majorTickMark val="none"/>
        <c:minorTickMark val="none"/>
        <c:tickLblPos val="none"/>
        <c:spPr>
          <a:ln>
            <a:noFill/>
          </a:ln>
        </c:spPr>
        <c:crossAx val="169307520"/>
        <c:crosses val="max"/>
        <c:crossBetween val="between"/>
      </c:valAx>
      <c:catAx>
        <c:axId val="169307520"/>
        <c:scaling>
          <c:orientation val="minMax"/>
        </c:scaling>
        <c:delete val="1"/>
        <c:axPos val="b"/>
        <c:numFmt formatCode="General" sourceLinked="1"/>
        <c:majorTickMark val="out"/>
        <c:minorTickMark val="none"/>
        <c:tickLblPos val="nextTo"/>
        <c:crossAx val="169305600"/>
        <c:crossesAt val="-0.1"/>
        <c:auto val="1"/>
        <c:lblAlgn val="ctr"/>
        <c:lblOffset val="100"/>
        <c:noMultiLvlLbl val="0"/>
      </c:catAx>
    </c:plotArea>
    <c:plotVisOnly val="1"/>
    <c:dispBlanksAs val="gap"/>
    <c:showDLblsOverMax val="0"/>
  </c:chart>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381526104417664E-2"/>
          <c:y val="4.569055036344756E-2"/>
          <c:w val="0.81547864112979196"/>
          <c:h val="0.60782094227171879"/>
        </c:manualLayout>
      </c:layout>
      <c:areaChart>
        <c:grouping val="stacked"/>
        <c:varyColors val="0"/>
        <c:ser>
          <c:idx val="0"/>
          <c:order val="1"/>
          <c:tx>
            <c:strRef>
              <c:f>Brauereien!$AP$58</c:f>
              <c:strCache>
                <c:ptCount val="1"/>
                <c:pt idx="0">
                  <c:v>Rot</c:v>
                </c:pt>
              </c:strCache>
            </c:strRef>
          </c:tx>
          <c:spPr>
            <a:solidFill>
              <a:srgbClr val="FF0000">
                <a:alpha val="80000"/>
              </a:srgbClr>
            </a:solidFill>
            <a:ln w="25400">
              <a:noFill/>
            </a:ln>
          </c:spPr>
          <c:cat>
            <c:strRef>
              <c:f>Brauereien!$AL$59:$AL$64</c:f>
              <c:strCache>
                <c:ptCount val="5"/>
                <c:pt idx="1">
                  <c:v>Wassersparmassnahmen</c:v>
                </c:pt>
                <c:pt idx="2">
                  <c:v>Reinigung</c:v>
                </c:pt>
                <c:pt idx="3">
                  <c:v>Abwasserbelastung/Verluste</c:v>
                </c:pt>
                <c:pt idx="4">
                  <c:v>Energieverbrauch /Optimierung Ressourcenverbrauch</c:v>
                </c:pt>
              </c:strCache>
            </c:strRef>
          </c:cat>
          <c:val>
            <c:numRef>
              <c:f>Brauereien!$AP$59:$AP$64</c:f>
              <c:numCache>
                <c:formatCode>0.00</c:formatCode>
                <c:ptCount val="6"/>
                <c:pt idx="0">
                  <c:v>0.4</c:v>
                </c:pt>
                <c:pt idx="1">
                  <c:v>0.4</c:v>
                </c:pt>
                <c:pt idx="2">
                  <c:v>0.4</c:v>
                </c:pt>
                <c:pt idx="3">
                  <c:v>0.4</c:v>
                </c:pt>
                <c:pt idx="4">
                  <c:v>0.4</c:v>
                </c:pt>
                <c:pt idx="5">
                  <c:v>0.4</c:v>
                </c:pt>
              </c:numCache>
            </c:numRef>
          </c:val>
          <c:extLst>
            <c:ext xmlns:c16="http://schemas.microsoft.com/office/drawing/2014/chart" uri="{C3380CC4-5D6E-409C-BE32-E72D297353CC}">
              <c16:uniqueId val="{00000000-2177-41F6-9D6E-AE5ADCD5655D}"/>
            </c:ext>
          </c:extLst>
        </c:ser>
        <c:ser>
          <c:idx val="1"/>
          <c:order val="2"/>
          <c:tx>
            <c:strRef>
              <c:f>Brauereien!$AO$58</c:f>
              <c:strCache>
                <c:ptCount val="1"/>
                <c:pt idx="0">
                  <c:v>Orange</c:v>
                </c:pt>
              </c:strCache>
            </c:strRef>
          </c:tx>
          <c:spPr>
            <a:solidFill>
              <a:srgbClr val="FFC000">
                <a:alpha val="80000"/>
              </a:srgbClr>
            </a:solidFill>
            <a:ln w="25400">
              <a:noFill/>
            </a:ln>
          </c:spPr>
          <c:cat>
            <c:strRef>
              <c:f>Brauereien!$AL$59:$AL$64</c:f>
              <c:strCache>
                <c:ptCount val="5"/>
                <c:pt idx="1">
                  <c:v>Wassersparmassnahmen</c:v>
                </c:pt>
                <c:pt idx="2">
                  <c:v>Reinigung</c:v>
                </c:pt>
                <c:pt idx="3">
                  <c:v>Abwasserbelastung/Verluste</c:v>
                </c:pt>
                <c:pt idx="4">
                  <c:v>Energieverbrauch /Optimierung Ressourcenverbrauch</c:v>
                </c:pt>
              </c:strCache>
            </c:strRef>
          </c:cat>
          <c:val>
            <c:numRef>
              <c:f>Brauereien!$AO$59:$AO$64</c:f>
              <c:numCache>
                <c:formatCode>0.00</c:formatCode>
                <c:ptCount val="6"/>
                <c:pt idx="0">
                  <c:v>0.4</c:v>
                </c:pt>
                <c:pt idx="1">
                  <c:v>0.4</c:v>
                </c:pt>
                <c:pt idx="2">
                  <c:v>0.4</c:v>
                </c:pt>
                <c:pt idx="3">
                  <c:v>0.4</c:v>
                </c:pt>
                <c:pt idx="4">
                  <c:v>0.4</c:v>
                </c:pt>
                <c:pt idx="5">
                  <c:v>0.4</c:v>
                </c:pt>
              </c:numCache>
            </c:numRef>
          </c:val>
          <c:extLst>
            <c:ext xmlns:c16="http://schemas.microsoft.com/office/drawing/2014/chart" uri="{C3380CC4-5D6E-409C-BE32-E72D297353CC}">
              <c16:uniqueId val="{00000001-2177-41F6-9D6E-AE5ADCD5655D}"/>
            </c:ext>
          </c:extLst>
        </c:ser>
        <c:ser>
          <c:idx val="2"/>
          <c:order val="3"/>
          <c:tx>
            <c:strRef>
              <c:f>Brauereien!$AN$58</c:f>
              <c:strCache>
                <c:ptCount val="1"/>
                <c:pt idx="0">
                  <c:v>Grün</c:v>
                </c:pt>
              </c:strCache>
            </c:strRef>
          </c:tx>
          <c:spPr>
            <a:solidFill>
              <a:srgbClr val="92D050">
                <a:alpha val="80000"/>
              </a:srgbClr>
            </a:solidFill>
            <a:ln w="25400">
              <a:noFill/>
            </a:ln>
          </c:spPr>
          <c:cat>
            <c:strRef>
              <c:f>Brauereien!$AL$59:$AL$64</c:f>
              <c:strCache>
                <c:ptCount val="5"/>
                <c:pt idx="1">
                  <c:v>Wassersparmassnahmen</c:v>
                </c:pt>
                <c:pt idx="2">
                  <c:v>Reinigung</c:v>
                </c:pt>
                <c:pt idx="3">
                  <c:v>Abwasserbelastung/Verluste</c:v>
                </c:pt>
                <c:pt idx="4">
                  <c:v>Energieverbrauch /Optimierung Ressourcenverbrauch</c:v>
                </c:pt>
              </c:strCache>
            </c:strRef>
          </c:cat>
          <c:val>
            <c:numRef>
              <c:f>Brauereien!$AN$59:$AN$64</c:f>
              <c:numCache>
                <c:formatCode>0.00</c:formatCode>
                <c:ptCount val="6"/>
                <c:pt idx="0">
                  <c:v>0.30000000000000004</c:v>
                </c:pt>
                <c:pt idx="1">
                  <c:v>0.30000000000000004</c:v>
                </c:pt>
                <c:pt idx="2">
                  <c:v>0.30000000000000004</c:v>
                </c:pt>
                <c:pt idx="3">
                  <c:v>0.30000000000000004</c:v>
                </c:pt>
                <c:pt idx="4">
                  <c:v>0.30000000000000004</c:v>
                </c:pt>
                <c:pt idx="5">
                  <c:v>0.30000000000000004</c:v>
                </c:pt>
              </c:numCache>
            </c:numRef>
          </c:val>
          <c:extLst>
            <c:ext xmlns:c16="http://schemas.microsoft.com/office/drawing/2014/chart" uri="{C3380CC4-5D6E-409C-BE32-E72D297353CC}">
              <c16:uniqueId val="{00000002-2177-41F6-9D6E-AE5ADCD5655D}"/>
            </c:ext>
          </c:extLst>
        </c:ser>
        <c:dLbls>
          <c:showLegendKey val="0"/>
          <c:showVal val="0"/>
          <c:showCatName val="0"/>
          <c:showSerName val="0"/>
          <c:showPercent val="0"/>
          <c:showBubbleSize val="0"/>
        </c:dLbls>
        <c:axId val="142379264"/>
        <c:axId val="142381440"/>
      </c:areaChart>
      <c:lineChart>
        <c:grouping val="standard"/>
        <c:varyColors val="0"/>
        <c:ser>
          <c:idx val="3"/>
          <c:order val="0"/>
          <c:tx>
            <c:strRef>
              <c:f>Brauereien!$AM$58</c:f>
              <c:strCache>
                <c:ptCount val="1"/>
                <c:pt idx="0">
                  <c:v>Wert Thema</c:v>
                </c:pt>
              </c:strCache>
            </c:strRef>
          </c:tx>
          <c:spPr>
            <a:ln>
              <a:noFill/>
            </a:ln>
          </c:spPr>
          <c:marker>
            <c:symbol val="circle"/>
            <c:size val="12"/>
            <c:spPr>
              <a:noFill/>
              <a:ln w="19050">
                <a:solidFill>
                  <a:schemeClr val="tx1"/>
                </a:solidFill>
              </a:ln>
            </c:spPr>
          </c:marker>
          <c:dPt>
            <c:idx val="0"/>
            <c:marker>
              <c:symbol val="none"/>
            </c:marker>
            <c:bubble3D val="0"/>
            <c:extLst>
              <c:ext xmlns:c16="http://schemas.microsoft.com/office/drawing/2014/chart" uri="{C3380CC4-5D6E-409C-BE32-E72D297353CC}">
                <c16:uniqueId val="{00000003-2177-41F6-9D6E-AE5ADCD5655D}"/>
              </c:ext>
            </c:extLst>
          </c:dPt>
          <c:dPt>
            <c:idx val="6"/>
            <c:bubble3D val="0"/>
            <c:extLst>
              <c:ext xmlns:c16="http://schemas.microsoft.com/office/drawing/2014/chart" uri="{C3380CC4-5D6E-409C-BE32-E72D297353CC}">
                <c16:uniqueId val="{00000004-2177-41F6-9D6E-AE5ADCD5655D}"/>
              </c:ext>
            </c:extLst>
          </c:dPt>
          <c:cat>
            <c:strRef>
              <c:f>Brauereien!$AL$59:$AL$64</c:f>
              <c:strCache>
                <c:ptCount val="5"/>
                <c:pt idx="1">
                  <c:v>Wassersparmassnahmen</c:v>
                </c:pt>
                <c:pt idx="2">
                  <c:v>Reinigung</c:v>
                </c:pt>
                <c:pt idx="3">
                  <c:v>Abwasserbelastung/Verluste</c:v>
                </c:pt>
                <c:pt idx="4">
                  <c:v>Energieverbrauch /Optimierung Ressourcenverbrauch</c:v>
                </c:pt>
              </c:strCache>
            </c:strRef>
          </c:cat>
          <c:val>
            <c:numRef>
              <c:f>Brauereien!$AM$59:$AM$64</c:f>
              <c:numCache>
                <c:formatCode>0.0</c:formatCode>
                <c:ptCount val="6"/>
                <c:pt idx="1">
                  <c:v>0</c:v>
                </c:pt>
                <c:pt idx="2">
                  <c:v>0</c:v>
                </c:pt>
                <c:pt idx="3">
                  <c:v>0</c:v>
                </c:pt>
                <c:pt idx="4">
                  <c:v>0</c:v>
                </c:pt>
              </c:numCache>
            </c:numRef>
          </c:val>
          <c:smooth val="0"/>
          <c:extLst>
            <c:ext xmlns:c16="http://schemas.microsoft.com/office/drawing/2014/chart" uri="{C3380CC4-5D6E-409C-BE32-E72D297353CC}">
              <c16:uniqueId val="{00000005-2177-41F6-9D6E-AE5ADCD5655D}"/>
            </c:ext>
          </c:extLst>
        </c:ser>
        <c:dLbls>
          <c:showLegendKey val="0"/>
          <c:showVal val="0"/>
          <c:showCatName val="0"/>
          <c:showSerName val="0"/>
          <c:showPercent val="0"/>
          <c:showBubbleSize val="0"/>
        </c:dLbls>
        <c:marker val="1"/>
        <c:smooth val="0"/>
        <c:axId val="142393728"/>
        <c:axId val="142383360"/>
      </c:lineChart>
      <c:catAx>
        <c:axId val="142379264"/>
        <c:scaling>
          <c:orientation val="minMax"/>
        </c:scaling>
        <c:delete val="0"/>
        <c:axPos val="b"/>
        <c:majorGridlines>
          <c:spPr>
            <a:ln w="19050">
              <a:solidFill>
                <a:schemeClr val="tx1"/>
              </a:solidFill>
            </a:ln>
          </c:spPr>
        </c:majorGridlines>
        <c:numFmt formatCode="General" sourceLinked="0"/>
        <c:majorTickMark val="out"/>
        <c:minorTickMark val="none"/>
        <c:tickLblPos val="nextTo"/>
        <c:spPr>
          <a:ln w="19050">
            <a:noFill/>
          </a:ln>
        </c:spPr>
        <c:txPr>
          <a:bodyPr rot="-1320000"/>
          <a:lstStyle/>
          <a:p>
            <a:pPr>
              <a:defRPr sz="900" baseline="0"/>
            </a:pPr>
            <a:endParaRPr lang="de-DE"/>
          </a:p>
        </c:txPr>
        <c:crossAx val="142381440"/>
        <c:crossesAt val="-0.1"/>
        <c:auto val="0"/>
        <c:lblAlgn val="ctr"/>
        <c:lblOffset val="100"/>
        <c:noMultiLvlLbl val="0"/>
      </c:catAx>
      <c:valAx>
        <c:axId val="142381440"/>
        <c:scaling>
          <c:orientation val="minMax"/>
          <c:max val="1.1000000000000001"/>
          <c:min val="-0.1"/>
        </c:scaling>
        <c:delete val="0"/>
        <c:axPos val="l"/>
        <c:title>
          <c:tx>
            <c:rich>
              <a:bodyPr rot="0" vert="wordArtVert"/>
              <a:lstStyle/>
              <a:p>
                <a:pPr>
                  <a:defRPr sz="1100"/>
                </a:pPr>
                <a:r>
                  <a:rPr lang="de-CH" sz="1100">
                    <a:latin typeface="Arial" pitchFamily="34" charset="0"/>
                    <a:cs typeface="Arial" pitchFamily="34" charset="0"/>
                  </a:rPr>
                  <a:t>Bewertung</a:t>
                </a:r>
              </a:p>
            </c:rich>
          </c:tx>
          <c:layout>
            <c:manualLayout>
              <c:xMode val="edge"/>
              <c:yMode val="edge"/>
              <c:x val="0.13722766290273816"/>
              <c:y val="5.2883803889154743E-2"/>
            </c:manualLayout>
          </c:layout>
          <c:overlay val="0"/>
        </c:title>
        <c:numFmt formatCode="0.00" sourceLinked="1"/>
        <c:majorTickMark val="none"/>
        <c:minorTickMark val="none"/>
        <c:tickLblPos val="none"/>
        <c:spPr>
          <a:ln w="19050">
            <a:solidFill>
              <a:schemeClr val="tx1"/>
            </a:solidFill>
          </a:ln>
        </c:spPr>
        <c:crossAx val="142379264"/>
        <c:crosses val="autoZero"/>
        <c:crossBetween val="between"/>
      </c:valAx>
      <c:valAx>
        <c:axId val="142383360"/>
        <c:scaling>
          <c:orientation val="minMax"/>
          <c:max val="1.1000000000000001"/>
          <c:min val="-0.1"/>
        </c:scaling>
        <c:delete val="0"/>
        <c:axPos val="r"/>
        <c:majorGridlines>
          <c:spPr>
            <a:ln w="19050">
              <a:noFill/>
            </a:ln>
          </c:spPr>
        </c:majorGridlines>
        <c:title>
          <c:tx>
            <c:rich>
              <a:bodyPr rot="0" vert="wordArtVert"/>
              <a:lstStyle/>
              <a:p>
                <a:pPr>
                  <a:defRPr sz="1100"/>
                </a:pPr>
                <a:r>
                  <a:rPr lang="de-CH" sz="1100">
                    <a:latin typeface="Arial" pitchFamily="34" charset="0"/>
                    <a:cs typeface="Arial" pitchFamily="34" charset="0"/>
                  </a:rPr>
                  <a:t>Bewertung</a:t>
                </a:r>
              </a:p>
            </c:rich>
          </c:tx>
          <c:layout>
            <c:manualLayout>
              <c:xMode val="edge"/>
              <c:yMode val="edge"/>
              <c:x val="0.89442474114775716"/>
              <c:y val="5.1901219529879215E-2"/>
            </c:manualLayout>
          </c:layout>
          <c:overlay val="0"/>
        </c:title>
        <c:numFmt formatCode="General" sourceLinked="1"/>
        <c:majorTickMark val="none"/>
        <c:minorTickMark val="none"/>
        <c:tickLblPos val="none"/>
        <c:spPr>
          <a:ln>
            <a:noFill/>
          </a:ln>
        </c:spPr>
        <c:crossAx val="142393728"/>
        <c:crosses val="max"/>
        <c:crossBetween val="between"/>
      </c:valAx>
      <c:catAx>
        <c:axId val="142393728"/>
        <c:scaling>
          <c:orientation val="minMax"/>
        </c:scaling>
        <c:delete val="1"/>
        <c:axPos val="b"/>
        <c:numFmt formatCode="General" sourceLinked="1"/>
        <c:majorTickMark val="out"/>
        <c:minorTickMark val="none"/>
        <c:tickLblPos val="nextTo"/>
        <c:crossAx val="142383360"/>
        <c:crossesAt val="-0.1"/>
        <c:auto val="1"/>
        <c:lblAlgn val="ctr"/>
        <c:lblOffset val="100"/>
        <c:noMultiLvlLbl val="0"/>
      </c:catAx>
    </c:plotArea>
    <c:plotVisOnly val="1"/>
    <c:dispBlanksAs val="gap"/>
    <c:showDLblsOverMax val="0"/>
  </c:chart>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poly"/>
            <c:order val="2"/>
            <c:dispRSqr val="0"/>
            <c:dispEq val="1"/>
            <c:trendlineLbl>
              <c:numFmt formatCode="#,##0.00000" sourceLinked="0"/>
            </c:trendlineLbl>
          </c:trendline>
          <c:xVal>
            <c:numRef>
              <c:f>Parameter!$H$18:$H$23</c:f>
              <c:numCache>
                <c:formatCode>General</c:formatCode>
                <c:ptCount val="6"/>
                <c:pt idx="0">
                  <c:v>350</c:v>
                </c:pt>
                <c:pt idx="1">
                  <c:v>250</c:v>
                </c:pt>
                <c:pt idx="2">
                  <c:v>150</c:v>
                </c:pt>
                <c:pt idx="3">
                  <c:v>100</c:v>
                </c:pt>
                <c:pt idx="4">
                  <c:v>50</c:v>
                </c:pt>
                <c:pt idx="5">
                  <c:v>0</c:v>
                </c:pt>
              </c:numCache>
            </c:numRef>
          </c:xVal>
          <c:yVal>
            <c:numRef>
              <c:f>Parameter!$I$18:$I$23</c:f>
              <c:numCache>
                <c:formatCode>General</c:formatCode>
                <c:ptCount val="6"/>
                <c:pt idx="0">
                  <c:v>0.8</c:v>
                </c:pt>
                <c:pt idx="1">
                  <c:v>1.1000000000000001</c:v>
                </c:pt>
                <c:pt idx="2">
                  <c:v>1.5</c:v>
                </c:pt>
                <c:pt idx="3">
                  <c:v>1.8</c:v>
                </c:pt>
                <c:pt idx="4">
                  <c:v>2.5</c:v>
                </c:pt>
                <c:pt idx="5">
                  <c:v>4</c:v>
                </c:pt>
              </c:numCache>
            </c:numRef>
          </c:yVal>
          <c:smooth val="0"/>
          <c:extLst>
            <c:ext xmlns:c16="http://schemas.microsoft.com/office/drawing/2014/chart" uri="{C3380CC4-5D6E-409C-BE32-E72D297353CC}">
              <c16:uniqueId val="{00000000-1031-4974-8793-E6F9E8E53028}"/>
            </c:ext>
          </c:extLst>
        </c:ser>
        <c:dLbls>
          <c:showLegendKey val="0"/>
          <c:showVal val="0"/>
          <c:showCatName val="0"/>
          <c:showSerName val="0"/>
          <c:showPercent val="0"/>
          <c:showBubbleSize val="0"/>
        </c:dLbls>
        <c:axId val="169667584"/>
        <c:axId val="167916288"/>
      </c:scatterChart>
      <c:valAx>
        <c:axId val="169667584"/>
        <c:scaling>
          <c:orientation val="minMax"/>
        </c:scaling>
        <c:delete val="0"/>
        <c:axPos val="b"/>
        <c:numFmt formatCode="General" sourceLinked="1"/>
        <c:majorTickMark val="out"/>
        <c:minorTickMark val="none"/>
        <c:tickLblPos val="nextTo"/>
        <c:crossAx val="167916288"/>
        <c:crosses val="autoZero"/>
        <c:crossBetween val="midCat"/>
      </c:valAx>
      <c:valAx>
        <c:axId val="167916288"/>
        <c:scaling>
          <c:orientation val="minMax"/>
        </c:scaling>
        <c:delete val="0"/>
        <c:axPos val="l"/>
        <c:majorGridlines/>
        <c:numFmt formatCode="General" sourceLinked="1"/>
        <c:majorTickMark val="out"/>
        <c:minorTickMark val="none"/>
        <c:tickLblPos val="nextTo"/>
        <c:crossAx val="169667584"/>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media/image3.emf"/><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media/image5.emf"/><Relationship Id="rId1" Type="http://schemas.openxmlformats.org/officeDocument/2006/relationships/image" Target="../media/image6.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4</xdr:col>
      <xdr:colOff>3016250</xdr:colOff>
      <xdr:row>1</xdr:row>
      <xdr:rowOff>95251</xdr:rowOff>
    </xdr:from>
    <xdr:to>
      <xdr:col>4</xdr:col>
      <xdr:colOff>9188980</xdr:colOff>
      <xdr:row>11</xdr:row>
      <xdr:rowOff>423334</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3206750</xdr:colOff>
      <xdr:row>3</xdr:row>
      <xdr:rowOff>423333</xdr:rowOff>
    </xdr:from>
    <xdr:to>
      <xdr:col>4</xdr:col>
      <xdr:colOff>2942168</xdr:colOff>
      <xdr:row>8</xdr:row>
      <xdr:rowOff>52917</xdr:rowOff>
    </xdr:to>
    <xdr:sp macro="" textlink="">
      <xdr:nvSpPr>
        <xdr:cNvPr id="3" name="Textfeld 2"/>
        <xdr:cNvSpPr txBox="1"/>
      </xdr:nvSpPr>
      <xdr:spPr>
        <a:xfrm>
          <a:off x="6212417" y="2508250"/>
          <a:ext cx="3122084" cy="1799167"/>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200" b="1">
              <a:latin typeface="Arial" panose="020B0604020202020204" pitchFamily="34" charset="0"/>
              <a:cs typeface="Arial" panose="020B0604020202020204" pitchFamily="34" charset="0"/>
            </a:rPr>
            <a:t>Gesamtübersicht über den Fragebogen</a:t>
          </a:r>
        </a:p>
        <a:p>
          <a:endParaRPr lang="de-CH" sz="1200" b="1">
            <a:latin typeface="Arial" panose="020B0604020202020204" pitchFamily="34" charset="0"/>
            <a:cs typeface="Arial" panose="020B0604020202020204" pitchFamily="34" charset="0"/>
          </a:endParaRPr>
        </a:p>
        <a:p>
          <a:r>
            <a:rPr lang="de-CH" sz="1200" b="1">
              <a:latin typeface="Arial" panose="020B0604020202020204" pitchFamily="34" charset="0"/>
              <a:cs typeface="Arial" panose="020B0604020202020204" pitchFamily="34" charset="0"/>
            </a:rPr>
            <a:t>Kreis innerhalb:</a:t>
          </a:r>
        </a:p>
        <a:p>
          <a:endParaRPr lang="de-CH" sz="1200" b="1">
            <a:latin typeface="Arial" panose="020B0604020202020204" pitchFamily="34" charset="0"/>
            <a:cs typeface="Arial" panose="020B0604020202020204" pitchFamily="34" charset="0"/>
          </a:endParaRPr>
        </a:p>
        <a:p>
          <a:r>
            <a:rPr lang="de-CH" sz="1200" b="0">
              <a:latin typeface="Arial" panose="020B0604020202020204" pitchFamily="34" charset="0"/>
              <a:cs typeface="Arial" panose="020B0604020202020204" pitchFamily="34" charset="0"/>
            </a:rPr>
            <a:t>Grün     </a:t>
          </a:r>
          <a:r>
            <a:rPr lang="de-CH" sz="1200" b="0" baseline="0">
              <a:latin typeface="Arial" panose="020B0604020202020204" pitchFamily="34" charset="0"/>
              <a:cs typeface="Arial" panose="020B0604020202020204" pitchFamily="34" charset="0"/>
            </a:rPr>
            <a:t> -&gt; gut</a:t>
          </a:r>
        </a:p>
        <a:p>
          <a:endParaRPr lang="de-CH" sz="1200" b="0" baseline="0">
            <a:latin typeface="Arial" panose="020B0604020202020204" pitchFamily="34" charset="0"/>
            <a:cs typeface="Arial" panose="020B0604020202020204" pitchFamily="34" charset="0"/>
          </a:endParaRPr>
        </a:p>
        <a:p>
          <a:r>
            <a:rPr lang="de-CH" sz="1200" b="0" baseline="0">
              <a:latin typeface="Arial" panose="020B0604020202020204" pitchFamily="34" charset="0"/>
              <a:cs typeface="Arial" panose="020B0604020202020204" pitchFamily="34" charset="0"/>
            </a:rPr>
            <a:t>Orange  -&gt; Potential</a:t>
          </a:r>
        </a:p>
        <a:p>
          <a:endParaRPr lang="de-CH" sz="1200" b="0" baseline="0">
            <a:latin typeface="Arial" panose="020B0604020202020204" pitchFamily="34" charset="0"/>
            <a:cs typeface="Arial" panose="020B0604020202020204" pitchFamily="34" charset="0"/>
          </a:endParaRPr>
        </a:p>
        <a:p>
          <a:r>
            <a:rPr lang="de-CH" sz="1200" b="0" baseline="0">
              <a:latin typeface="Arial" panose="020B0604020202020204" pitchFamily="34" charset="0"/>
              <a:cs typeface="Arial" panose="020B0604020202020204" pitchFamily="34" charset="0"/>
            </a:rPr>
            <a:t>Rot         -&gt; Bedarf</a:t>
          </a:r>
          <a:endParaRPr lang="de-CH" sz="1200" b="0">
            <a:latin typeface="Arial" panose="020B0604020202020204" pitchFamily="34" charset="0"/>
            <a:cs typeface="Arial" panose="020B0604020202020204" pitchFamily="34" charset="0"/>
          </a:endParaRPr>
        </a:p>
      </xdr:txBody>
    </xdr:sp>
    <xdr:clientData/>
  </xdr:twoCellAnchor>
  <xdr:twoCellAnchor>
    <xdr:from>
      <xdr:col>2</xdr:col>
      <xdr:colOff>687917</xdr:colOff>
      <xdr:row>4</xdr:row>
      <xdr:rowOff>31750</xdr:rowOff>
    </xdr:from>
    <xdr:to>
      <xdr:col>3</xdr:col>
      <xdr:colOff>2688165</xdr:colOff>
      <xdr:row>7</xdr:row>
      <xdr:rowOff>412750</xdr:rowOff>
    </xdr:to>
    <xdr:sp macro="" textlink="">
      <xdr:nvSpPr>
        <xdr:cNvPr id="4" name="Textfeld 3"/>
        <xdr:cNvSpPr txBox="1"/>
      </xdr:nvSpPr>
      <xdr:spPr>
        <a:xfrm>
          <a:off x="1640417" y="2550583"/>
          <a:ext cx="4053415" cy="168275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200">
              <a:latin typeface="Arial" panose="020B0604020202020204" pitchFamily="34" charset="0"/>
              <a:cs typeface="Arial" panose="020B0604020202020204" pitchFamily="34" charset="0"/>
            </a:rPr>
            <a:t>In diesem Fragebogen sind Fragen zum Umwelt-management zusammengestellt. Beantworten Sie die Fragen, wird Ihnen mit einem Balken angezeigt, wo allenfalls noch Optimierungspotential vorhanden ist. Bei Klick auf die Antwortzelle, können Sie die Antwort aus einer Liste auswählen (Klick auf das Dreieck oder nochmals die Zelle anklicken).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37</xdr:col>
      <xdr:colOff>592933</xdr:colOff>
      <xdr:row>12</xdr:row>
      <xdr:rowOff>130968</xdr:rowOff>
    </xdr:from>
    <xdr:to>
      <xdr:col>41</xdr:col>
      <xdr:colOff>616745</xdr:colOff>
      <xdr:row>23</xdr:row>
      <xdr:rowOff>197643</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40</xdr:col>
          <xdr:colOff>0</xdr:colOff>
          <xdr:row>1</xdr:row>
          <xdr:rowOff>0</xdr:rowOff>
        </xdr:from>
        <xdr:to>
          <xdr:col>40</xdr:col>
          <xdr:colOff>914400</xdr:colOff>
          <xdr:row>3</xdr:row>
          <xdr:rowOff>161925</xdr:rowOff>
        </xdr:to>
        <xdr:sp macro="" textlink="">
          <xdr:nvSpPr>
            <xdr:cNvPr id="2050" name="Object 2" hidden="1">
              <a:extLst>
                <a:ext uri="{63B3BB69-23CF-44E3-9099-C40C66FF867C}">
                  <a14:compatExt spid="_x0000_s20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33</xdr:col>
      <xdr:colOff>457200</xdr:colOff>
      <xdr:row>13</xdr:row>
      <xdr:rowOff>1</xdr:rowOff>
    </xdr:from>
    <xdr:to>
      <xdr:col>38</xdr:col>
      <xdr:colOff>0</xdr:colOff>
      <xdr:row>23</xdr:row>
      <xdr:rowOff>161925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6</xdr:col>
          <xdr:colOff>1466850</xdr:colOff>
          <xdr:row>21</xdr:row>
          <xdr:rowOff>76200</xdr:rowOff>
        </xdr:from>
        <xdr:to>
          <xdr:col>7</xdr:col>
          <xdr:colOff>1400175</xdr:colOff>
          <xdr:row>21</xdr:row>
          <xdr:rowOff>333375</xdr:rowOff>
        </xdr:to>
        <xdr:sp macro="" textlink="">
          <xdr:nvSpPr>
            <xdr:cNvPr id="4100" name="OptionButton4" hidden="1">
              <a:extLst>
                <a:ext uri="{63B3BB69-23CF-44E3-9099-C40C66FF867C}">
                  <a14:compatExt spid="_x0000_s4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1466850</xdr:colOff>
          <xdr:row>22</xdr:row>
          <xdr:rowOff>0</xdr:rowOff>
        </xdr:from>
        <xdr:to>
          <xdr:col>7</xdr:col>
          <xdr:colOff>1400175</xdr:colOff>
          <xdr:row>22</xdr:row>
          <xdr:rowOff>295275</xdr:rowOff>
        </xdr:to>
        <xdr:sp macro="" textlink="">
          <xdr:nvSpPr>
            <xdr:cNvPr id="4102" name="OptionButton5" hidden="1">
              <a:extLst>
                <a:ext uri="{63B3BB69-23CF-44E3-9099-C40C66FF867C}">
                  <a14:compatExt spid="_x0000_s41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37</xdr:col>
          <xdr:colOff>104775</xdr:colOff>
          <xdr:row>1</xdr:row>
          <xdr:rowOff>0</xdr:rowOff>
        </xdr:from>
        <xdr:to>
          <xdr:col>37</xdr:col>
          <xdr:colOff>1019175</xdr:colOff>
          <xdr:row>3</xdr:row>
          <xdr:rowOff>161925</xdr:rowOff>
        </xdr:to>
        <xdr:sp macro="" textlink="">
          <xdr:nvSpPr>
            <xdr:cNvPr id="4104" name="Object 8" hidden="1">
              <a:extLst>
                <a:ext uri="{63B3BB69-23CF-44E3-9099-C40C66FF867C}">
                  <a14:compatExt spid="_x0000_s410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21</xdr:col>
      <xdr:colOff>57151</xdr:colOff>
      <xdr:row>12</xdr:row>
      <xdr:rowOff>123826</xdr:rowOff>
    </xdr:from>
    <xdr:to>
      <xdr:col>24</xdr:col>
      <xdr:colOff>1362076</xdr:colOff>
      <xdr:row>26</xdr:row>
      <xdr:rowOff>28575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104775</xdr:colOff>
      <xdr:row>2</xdr:row>
      <xdr:rowOff>0</xdr:rowOff>
    </xdr:from>
    <xdr:to>
      <xdr:col>9</xdr:col>
      <xdr:colOff>104775</xdr:colOff>
      <xdr:row>2</xdr:row>
      <xdr:rowOff>152400</xdr:rowOff>
    </xdr:to>
    <xdr:cxnSp macro="">
      <xdr:nvCxnSpPr>
        <xdr:cNvPr id="4" name="Gerade Verbindung mit Pfeil 3"/>
        <xdr:cNvCxnSpPr/>
      </xdr:nvCxnSpPr>
      <xdr:spPr>
        <a:xfrm>
          <a:off x="9515475" y="514350"/>
          <a:ext cx="0" cy="1524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24</xdr:col>
          <xdr:colOff>419100</xdr:colOff>
          <xdr:row>0</xdr:row>
          <xdr:rowOff>171450</xdr:rowOff>
        </xdr:from>
        <xdr:to>
          <xdr:col>25</xdr:col>
          <xdr:colOff>114300</xdr:colOff>
          <xdr:row>4</xdr:row>
          <xdr:rowOff>57150</xdr:rowOff>
        </xdr:to>
        <xdr:sp macro="" textlink="">
          <xdr:nvSpPr>
            <xdr:cNvPr id="5121" name="Object 1" hidden="1">
              <a:extLst>
                <a:ext uri="{63B3BB69-23CF-44E3-9099-C40C66FF867C}">
                  <a14:compatExt spid="_x0000_s51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19050</xdr:colOff>
          <xdr:row>19</xdr:row>
          <xdr:rowOff>9525</xdr:rowOff>
        </xdr:from>
        <xdr:to>
          <xdr:col>3</xdr:col>
          <xdr:colOff>942975</xdr:colOff>
          <xdr:row>19</xdr:row>
          <xdr:rowOff>219075</xdr:rowOff>
        </xdr:to>
        <xdr:sp macro="" textlink="">
          <xdr:nvSpPr>
            <xdr:cNvPr id="10241" name="OptionButton1" hidden="1">
              <a:extLst>
                <a:ext uri="{63B3BB69-23CF-44E3-9099-C40C66FF867C}">
                  <a14:compatExt spid="_x0000_s102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19050</xdr:colOff>
          <xdr:row>19</xdr:row>
          <xdr:rowOff>19050</xdr:rowOff>
        </xdr:from>
        <xdr:to>
          <xdr:col>6</xdr:col>
          <xdr:colOff>962025</xdr:colOff>
          <xdr:row>20</xdr:row>
          <xdr:rowOff>0</xdr:rowOff>
        </xdr:to>
        <xdr:sp macro="" textlink="">
          <xdr:nvSpPr>
            <xdr:cNvPr id="10242" name="OptionButton2" hidden="1">
              <a:extLst>
                <a:ext uri="{63B3BB69-23CF-44E3-9099-C40C66FF867C}">
                  <a14:compatExt spid="_x0000_s102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19</xdr:col>
      <xdr:colOff>1400176</xdr:colOff>
      <xdr:row>11</xdr:row>
      <xdr:rowOff>104776</xdr:rowOff>
    </xdr:from>
    <xdr:to>
      <xdr:col>24</xdr:col>
      <xdr:colOff>0</xdr:colOff>
      <xdr:row>25</xdr:row>
      <xdr:rowOff>152400</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104775</xdr:colOff>
      <xdr:row>2</xdr:row>
      <xdr:rowOff>0</xdr:rowOff>
    </xdr:from>
    <xdr:to>
      <xdr:col>9</xdr:col>
      <xdr:colOff>104775</xdr:colOff>
      <xdr:row>2</xdr:row>
      <xdr:rowOff>152400</xdr:rowOff>
    </xdr:to>
    <xdr:cxnSp macro="">
      <xdr:nvCxnSpPr>
        <xdr:cNvPr id="7" name="Gerade Verbindung mit Pfeil 6"/>
        <xdr:cNvCxnSpPr/>
      </xdr:nvCxnSpPr>
      <xdr:spPr>
        <a:xfrm>
          <a:off x="9515475" y="514350"/>
          <a:ext cx="0" cy="1524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23</xdr:col>
          <xdr:colOff>123825</xdr:colOff>
          <xdr:row>1</xdr:row>
          <xdr:rowOff>19050</xdr:rowOff>
        </xdr:from>
        <xdr:to>
          <xdr:col>23</xdr:col>
          <xdr:colOff>1038225</xdr:colOff>
          <xdr:row>3</xdr:row>
          <xdr:rowOff>190500</xdr:rowOff>
        </xdr:to>
        <xdr:sp macro="" textlink="">
          <xdr:nvSpPr>
            <xdr:cNvPr id="10246" name="Object 6" hidden="1">
              <a:extLst>
                <a:ext uri="{63B3BB69-23CF-44E3-9099-C40C66FF867C}">
                  <a14:compatExt spid="_x0000_s102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28</xdr:col>
      <xdr:colOff>1857375</xdr:colOff>
      <xdr:row>11</xdr:row>
      <xdr:rowOff>104775</xdr:rowOff>
    </xdr:from>
    <xdr:to>
      <xdr:col>32</xdr:col>
      <xdr:colOff>1371600</xdr:colOff>
      <xdr:row>25</xdr:row>
      <xdr:rowOff>85725</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9</xdr:col>
      <xdr:colOff>690562</xdr:colOff>
      <xdr:row>16</xdr:row>
      <xdr:rowOff>42862</xdr:rowOff>
    </xdr:from>
    <xdr:to>
      <xdr:col>15</xdr:col>
      <xdr:colOff>690562</xdr:colOff>
      <xdr:row>22</xdr:row>
      <xdr:rowOff>900112</xdr:rowOff>
    </xdr:to>
    <xdr:graphicFrame macro="">
      <xdr:nvGraphicFramePr>
        <xdr:cNvPr id="3" name="Diagram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685800</xdr:colOff>
          <xdr:row>93</xdr:row>
          <xdr:rowOff>161925</xdr:rowOff>
        </xdr:from>
        <xdr:to>
          <xdr:col>4</xdr:col>
          <xdr:colOff>1600200</xdr:colOff>
          <xdr:row>97</xdr:row>
          <xdr:rowOff>123825</xdr:rowOff>
        </xdr:to>
        <xdr:sp macro="" textlink="">
          <xdr:nvSpPr>
            <xdr:cNvPr id="13313" name="Object 1" hidden="1">
              <a:extLst>
                <a:ext uri="{63B3BB69-23CF-44E3-9099-C40C66FF867C}">
                  <a14:compatExt spid="_x0000_s1331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lukas.grauwiler@lu.ch"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www.bestellen.bayern.de/application/stmug_app000000?SID=1905334634&amp;ARTSUCHExMATCHCODE=Energie+sparen+in+Metzgereien&amp;ARTSUCHExMATCHCODE=&amp;ACTIONxSETVAL%28suchergebnisse.htm%2CUSERxTITLE%3ASuchergebnisse%29=x" TargetMode="External"/><Relationship Id="rId13" Type="http://schemas.openxmlformats.org/officeDocument/2006/relationships/hyperlink" Target="http://www.win.steiermark.at/cms/dokumente/11263981_52485923/5311a767/Energiekennzahlen%20und%20Sparpotenziale%20in%20Brauereien.pdf" TargetMode="External"/><Relationship Id="rId18" Type="http://schemas.openxmlformats.org/officeDocument/2006/relationships/printerSettings" Target="../printerSettings/printerSettings9.bin"/><Relationship Id="rId3" Type="http://schemas.openxmlformats.org/officeDocument/2006/relationships/hyperlink" Target="http://www.ffe.de/download/langberichte/Kennzahlen.pdf" TargetMode="External"/><Relationship Id="rId7" Type="http://schemas.openxmlformats.org/officeDocument/2006/relationships/hyperlink" Target="http://www.wvo.at/de/service/indirekteinleiterverordnung" TargetMode="External"/><Relationship Id="rId12" Type="http://schemas.openxmlformats.org/officeDocument/2006/relationships/hyperlink" Target="http://www.win.steiermark.at/cms/dokumente/11263981_52485923/19a52622/Energiekennzahlen%20und%20Sparpotenziale%20f%C3%BCr%20Fleischbetriebe.pdf" TargetMode="External"/><Relationship Id="rId17" Type="http://schemas.openxmlformats.org/officeDocument/2006/relationships/hyperlink" Target="http://www.zvei.org/lebenszykluskosten" TargetMode="External"/><Relationship Id="rId2" Type="http://schemas.openxmlformats.org/officeDocument/2006/relationships/hyperlink" Target="http://www.kmu-scheck.at/fileadmin/media_data/Dateien/08053_KMU-Branchenkennwerte-Endbericht_2Q_klimafonds.pdf" TargetMode="External"/><Relationship Id="rId16" Type="http://schemas.openxmlformats.org/officeDocument/2006/relationships/hyperlink" Target="http://www.energie.ch/kategorie/gewerbe-und-industrie/" TargetMode="External"/><Relationship Id="rId1" Type="http://schemas.openxmlformats.org/officeDocument/2006/relationships/hyperlink" Target="http://www.lanuv.nrw.de/wasser/abwasser/forschung/pdf/AnalyseAbschlussbericht.pdf" TargetMode="External"/><Relationship Id="rId6" Type="http://schemas.openxmlformats.org/officeDocument/2006/relationships/hyperlink" Target="http://www.energie.ch/metzgerei" TargetMode="External"/><Relationship Id="rId11" Type="http://schemas.openxmlformats.org/officeDocument/2006/relationships/hyperlink" Target="http://www.energymanagement.at/Benchmarking.51.0.html" TargetMode="External"/><Relationship Id="rId5" Type="http://schemas.openxmlformats.org/officeDocument/2006/relationships/hyperlink" Target="http://www.bvt.umweltbundesamt.de/archiv/bvt_tierschlachtanlagen_vv.pdf" TargetMode="External"/><Relationship Id="rId15" Type="http://schemas.openxmlformats.org/officeDocument/2006/relationships/hyperlink" Target="http://www.bvt.umweltbundesamt.de/archiv/bvt_nahrungsmittelindustrie_vv.pdf" TargetMode="External"/><Relationship Id="rId10" Type="http://schemas.openxmlformats.org/officeDocument/2006/relationships/hyperlink" Target="http://www.isi.fraunhofer.de/isi-media/docs/x/de/publikationen/fachartikel/17-Milch.pdf?WSESSIONID=73a16be47175b2e24aabecc4b8fa1ec4" TargetMode="External"/><Relationship Id="rId4" Type="http://schemas.openxmlformats.org/officeDocument/2006/relationships/hyperlink" Target="http://www.lfu.bayern.de/energie/co2_minderung/doc/endbericht_molkerei.pdf" TargetMode="External"/><Relationship Id="rId9" Type="http://schemas.openxmlformats.org/officeDocument/2006/relationships/hyperlink" Target="http://www.energieagentur.nrw.de/unternehmen/kurzenergiecheck-9966.asp" TargetMode="External"/><Relationship Id="rId14" Type="http://schemas.openxmlformats.org/officeDocument/2006/relationships/hyperlink" Target="http://www.bvt.umweltbundesamt.de/sevilla/kurzue.htm"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11.bin"/><Relationship Id="rId5" Type="http://schemas.openxmlformats.org/officeDocument/2006/relationships/image" Target="../media/image7.emf"/><Relationship Id="rId4" Type="http://schemas.openxmlformats.org/officeDocument/2006/relationships/oleObject" Target="../embeddings/oleObject5.bin"/></Relationships>
</file>

<file path=xl/worksheets/_rels/sheet13.xml.rels><?xml version="1.0" encoding="UTF-8" standalone="yes"?>
<Relationships xmlns="http://schemas.openxmlformats.org/package/2006/relationships"><Relationship Id="rId8" Type="http://schemas.openxmlformats.org/officeDocument/2006/relationships/hyperlink" Target="https://www.klimafonds.gv.at/assets/Uploads/Studien/08053KMU-Branchenkennwerte-Endbericht2QklimafondsJuli2011.pdf" TargetMode="External"/><Relationship Id="rId13" Type="http://schemas.openxmlformats.org/officeDocument/2006/relationships/hyperlink" Target="http://www.win.steiermark.at/cms/dokumente/11263981_52485923/5311a767/Energiekennzahlen%20und%20Sparpotenziale%20in%20Brauereien.pdf" TargetMode="External"/><Relationship Id="rId3" Type="http://schemas.openxmlformats.org/officeDocument/2006/relationships/hyperlink" Target="http://www.bfe.admin.ch/themen/00507/index.html?lang=de" TargetMode="External"/><Relationship Id="rId7" Type="http://schemas.openxmlformats.org/officeDocument/2006/relationships/hyperlink" Target="https://www.lfu.bayern.de/energie/co2_minderung/doc/endbericht_molkerei.pdf" TargetMode="External"/><Relationship Id="rId12" Type="http://schemas.openxmlformats.org/officeDocument/2006/relationships/hyperlink" Target="http://www.energieagentur.nrw/" TargetMode="External"/><Relationship Id="rId2" Type="http://schemas.openxmlformats.org/officeDocument/2006/relationships/hyperlink" Target="http://www.energieschweiz.ch/de-ch/unternehmen/stromeffizienz/effiziente-druckluft.aspx" TargetMode="External"/><Relationship Id="rId1" Type="http://schemas.openxmlformats.org/officeDocument/2006/relationships/hyperlink" Target="http://www.energie.ch/metzgerei" TargetMode="External"/><Relationship Id="rId6" Type="http://schemas.openxmlformats.org/officeDocument/2006/relationships/hyperlink" Target="http://publica.fraunhofer.de/documents/N-10118.html" TargetMode="External"/><Relationship Id="rId11" Type="http://schemas.openxmlformats.org/officeDocument/2006/relationships/hyperlink" Target="http://www.win.steiermark.at/cms/dokumente/11263981_52485923/19a52622/Energiekennzahlen%20und%20Sparpotenziale%20f%C3%BCr%20Fleischbetriebe.pdf" TargetMode="External"/><Relationship Id="rId5" Type="http://schemas.openxmlformats.org/officeDocument/2006/relationships/hyperlink" Target="http://www.energieeffizienz-im-betrieb.net/energiekosten-unternehmen.html" TargetMode="External"/><Relationship Id="rId10" Type="http://schemas.openxmlformats.org/officeDocument/2006/relationships/hyperlink" Target="https://www.proklima-hannover.de/downloads/Unternehmen/Gewerbebroschueren/GewerbeInfos_Fleischerhandwerk.pdf" TargetMode="External"/><Relationship Id="rId4" Type="http://schemas.openxmlformats.org/officeDocument/2006/relationships/hyperlink" Target="http://www.green-foods.eu/wp-content/uploads/2013/05/Factsheet-2-1_DE-27-05-14.pdf" TargetMode="External"/><Relationship Id="rId9" Type="http://schemas.openxmlformats.org/officeDocument/2006/relationships/hyperlink" Target="https://www.ffe.de/download/langberichte/Kennzahlen.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image" Target="../media/image1.emf"/><Relationship Id="rId2" Type="http://schemas.openxmlformats.org/officeDocument/2006/relationships/hyperlink" Target="http://www.ffe.de/download/langberichte/Kennzahlen.pdf" TargetMode="External"/><Relationship Id="rId1" Type="http://schemas.openxmlformats.org/officeDocument/2006/relationships/hyperlink" Target="http://www.lfu.bayern.de/energie/co2_minderung/doc/endbericht_molkerei.pdf" TargetMode="External"/><Relationship Id="rId6" Type="http://schemas.openxmlformats.org/officeDocument/2006/relationships/oleObject" Target="../embeddings/oleObject1.bin"/><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control" Target="../activeX/activeX1.xml"/><Relationship Id="rId3" Type="http://schemas.openxmlformats.org/officeDocument/2006/relationships/printerSettings" Target="../printerSettings/printerSettings4.bin"/><Relationship Id="rId7" Type="http://schemas.openxmlformats.org/officeDocument/2006/relationships/image" Target="../media/image1.emf"/><Relationship Id="rId2" Type="http://schemas.openxmlformats.org/officeDocument/2006/relationships/hyperlink" Target="http://www.fromarte.ch/de/dienstleistungen/bestellen" TargetMode="External"/><Relationship Id="rId1" Type="http://schemas.openxmlformats.org/officeDocument/2006/relationships/hyperlink" Target="http://www.energieagentur.nrw.de/unternehmen/kurzenergiecheck-9966.asp" TargetMode="External"/><Relationship Id="rId6" Type="http://schemas.openxmlformats.org/officeDocument/2006/relationships/oleObject" Target="../embeddings/oleObject2.bin"/><Relationship Id="rId11" Type="http://schemas.openxmlformats.org/officeDocument/2006/relationships/image" Target="../media/image3.emf"/><Relationship Id="rId5" Type="http://schemas.openxmlformats.org/officeDocument/2006/relationships/vmlDrawing" Target="../drawings/vmlDrawing2.vml"/><Relationship Id="rId10" Type="http://schemas.openxmlformats.org/officeDocument/2006/relationships/control" Target="../activeX/activeX2.xml"/><Relationship Id="rId4" Type="http://schemas.openxmlformats.org/officeDocument/2006/relationships/drawing" Target="../drawings/drawing3.xml"/><Relationship Id="rId9" Type="http://schemas.openxmlformats.org/officeDocument/2006/relationships/image" Target="../media/image2.emf"/></Relationships>
</file>

<file path=xl/worksheets/_rels/sheet5.xml.rels><?xml version="1.0" encoding="UTF-8" standalone="yes"?>
<Relationships xmlns="http://schemas.openxmlformats.org/package/2006/relationships"><Relationship Id="rId8" Type="http://schemas.openxmlformats.org/officeDocument/2006/relationships/image" Target="../media/image4.emf"/><Relationship Id="rId3" Type="http://schemas.openxmlformats.org/officeDocument/2006/relationships/hyperlink" Target="https://www.umweltbundesamt.de/themen/wirtschaft-konsum/beste-verfuegbare-techniken/sevilla-prozess/bvt-merkblaetter-durchfuehrungsbeschluesse" TargetMode="External"/><Relationship Id="rId7" Type="http://schemas.openxmlformats.org/officeDocument/2006/relationships/oleObject" Target="../embeddings/oleObject3.bin"/><Relationship Id="rId2" Type="http://schemas.openxmlformats.org/officeDocument/2006/relationships/hyperlink" Target="http://www.energie.ch/metzgerei" TargetMode="External"/><Relationship Id="rId1" Type="http://schemas.openxmlformats.org/officeDocument/2006/relationships/hyperlink" Target="http://www.energieagentur.nrw.de/unternehmen/kurzenergiecheck-9966.asp" TargetMode="External"/><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printerSettings" Target="../printerSettings/printerSettings6.bin"/><Relationship Id="rId7" Type="http://schemas.openxmlformats.org/officeDocument/2006/relationships/image" Target="../media/image1.emf"/><Relationship Id="rId2" Type="http://schemas.openxmlformats.org/officeDocument/2006/relationships/hyperlink" Target="https://www.umweltbundesamt.de/themen/wirtschaft-konsum/beste-verfuegbare-techniken/sevilla-prozess/bvt-merkblaetter-durchfuehrungsbeschluesse" TargetMode="External"/><Relationship Id="rId1" Type="http://schemas.openxmlformats.org/officeDocument/2006/relationships/hyperlink" Target="http://www.energieagentur.nrw.de/unternehmen/kurzenergiecheck-9966.asp" TargetMode="External"/><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vmlDrawing" Target="../drawings/vmlDrawing4.vml"/><Relationship Id="rId10" Type="http://schemas.openxmlformats.org/officeDocument/2006/relationships/control" Target="../activeX/activeX4.xml"/><Relationship Id="rId4" Type="http://schemas.openxmlformats.org/officeDocument/2006/relationships/drawing" Target="../drawings/drawing5.xml"/><Relationship Id="rId9" Type="http://schemas.openxmlformats.org/officeDocument/2006/relationships/image" Target="../media/image5.emf"/></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umweltbundesamt.de/themen/wirtschaft-konsum/beste-verfuegbare-techniken/sevilla-prozess/bvt-merkblaetter-durchfuehrungsbeschluesse" TargetMode="External"/><Relationship Id="rId1" Type="http://schemas.openxmlformats.org/officeDocument/2006/relationships/hyperlink" Target="http://www.energieagentur.nrw.de/unternehmen/kurzenergiecheck-9966.asp" TargetMode="External"/><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hyperlink" Target="http://www.bfe.admin.ch/" TargetMode="External"/><Relationship Id="rId1" Type="http://schemas.openxmlformats.org/officeDocument/2006/relationships/hyperlink" Target="http://www.energieschweiz.ch/"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B3:X79"/>
  <sheetViews>
    <sheetView showGridLines="0" showRowColHeaders="0" tabSelected="1" topLeftCell="A19" zoomScale="90" zoomScaleNormal="90" workbookViewId="0">
      <selection activeCell="N49" sqref="N49"/>
    </sheetView>
  </sheetViews>
  <sheetFormatPr baseColWidth="10" defaultRowHeight="14.25" x14ac:dyDescent="0.2"/>
  <cols>
    <col min="1" max="1" width="3.140625" style="66" customWidth="1"/>
    <col min="2" max="2" width="17.28515625" style="66" customWidth="1"/>
    <col min="3" max="7" width="11.42578125" style="66"/>
    <col min="8" max="8" width="6.5703125" style="66" customWidth="1"/>
    <col min="9" max="9" width="17.42578125" style="66" customWidth="1"/>
    <col min="10" max="13" width="11.42578125" style="66"/>
    <col min="14" max="14" width="10.85546875" style="66" customWidth="1"/>
    <col min="15" max="15" width="22.42578125" style="66" customWidth="1"/>
    <col min="16" max="26" width="11.42578125" style="66"/>
    <col min="27" max="27" width="16.42578125" style="66" customWidth="1"/>
    <col min="28" max="16384" width="11.42578125" style="66"/>
  </cols>
  <sheetData>
    <row r="3" spans="2:16" ht="15" x14ac:dyDescent="0.25">
      <c r="B3" s="372" t="s">
        <v>427</v>
      </c>
      <c r="O3" s="197" t="s">
        <v>1154</v>
      </c>
    </row>
    <row r="5" spans="2:16" ht="15" x14ac:dyDescent="0.25">
      <c r="B5" s="197" t="s">
        <v>428</v>
      </c>
      <c r="C5" s="66" t="s">
        <v>430</v>
      </c>
      <c r="O5" s="197" t="s">
        <v>449</v>
      </c>
      <c r="P5" s="66" t="s">
        <v>448</v>
      </c>
    </row>
    <row r="6" spans="2:16" x14ac:dyDescent="0.2">
      <c r="C6" s="66" t="s">
        <v>459</v>
      </c>
      <c r="P6" s="66" t="s">
        <v>464</v>
      </c>
    </row>
    <row r="7" spans="2:16" ht="15" x14ac:dyDescent="0.25">
      <c r="C7" s="66" t="s">
        <v>1159</v>
      </c>
    </row>
    <row r="8" spans="2:16" ht="15" x14ac:dyDescent="0.25">
      <c r="O8" s="197" t="s">
        <v>450</v>
      </c>
      <c r="P8" s="66" t="s">
        <v>452</v>
      </c>
    </row>
    <row r="9" spans="2:16" ht="15" x14ac:dyDescent="0.25">
      <c r="B9" s="197" t="s">
        <v>1160</v>
      </c>
      <c r="C9" s="66" t="s">
        <v>1161</v>
      </c>
    </row>
    <row r="10" spans="2:16" ht="15" x14ac:dyDescent="0.25">
      <c r="C10" s="66" t="s">
        <v>1185</v>
      </c>
      <c r="O10" s="197" t="s">
        <v>451</v>
      </c>
      <c r="P10" s="66" t="s">
        <v>453</v>
      </c>
    </row>
    <row r="12" spans="2:16" ht="15" x14ac:dyDescent="0.25">
      <c r="B12" s="197" t="s">
        <v>429</v>
      </c>
      <c r="C12" s="66" t="s">
        <v>1194</v>
      </c>
      <c r="I12" s="1594"/>
      <c r="O12" s="197" t="s">
        <v>454</v>
      </c>
      <c r="P12" s="66" t="s">
        <v>455</v>
      </c>
    </row>
    <row r="13" spans="2:16" x14ac:dyDescent="0.2">
      <c r="C13" s="66" t="s">
        <v>1195</v>
      </c>
    </row>
    <row r="14" spans="2:16" ht="15" x14ac:dyDescent="0.25">
      <c r="C14" s="66" t="s">
        <v>431</v>
      </c>
      <c r="O14" s="197" t="s">
        <v>456</v>
      </c>
      <c r="P14" s="66" t="s">
        <v>457</v>
      </c>
    </row>
    <row r="15" spans="2:16" x14ac:dyDescent="0.2">
      <c r="C15" s="66" t="s">
        <v>1239</v>
      </c>
    </row>
    <row r="16" spans="2:16" ht="15" x14ac:dyDescent="0.25">
      <c r="C16" s="66" t="s">
        <v>462</v>
      </c>
      <c r="O16" s="197" t="s">
        <v>458</v>
      </c>
      <c r="P16" s="66" t="s">
        <v>465</v>
      </c>
    </row>
    <row r="17" spans="2:16" x14ac:dyDescent="0.2">
      <c r="C17" s="66" t="s">
        <v>1196</v>
      </c>
    </row>
    <row r="18" spans="2:16" ht="15" x14ac:dyDescent="0.25">
      <c r="O18" s="197" t="s">
        <v>1155</v>
      </c>
      <c r="P18" s="66" t="s">
        <v>1240</v>
      </c>
    </row>
    <row r="19" spans="2:16" x14ac:dyDescent="0.2">
      <c r="C19" s="66" t="s">
        <v>1150</v>
      </c>
    </row>
    <row r="20" spans="2:16" ht="15" x14ac:dyDescent="0.25">
      <c r="C20" s="66" t="s">
        <v>432</v>
      </c>
      <c r="O20" s="197" t="s">
        <v>1156</v>
      </c>
      <c r="P20" s="66" t="s">
        <v>1157</v>
      </c>
    </row>
    <row r="21" spans="2:16" x14ac:dyDescent="0.2">
      <c r="C21" s="66" t="s">
        <v>433</v>
      </c>
      <c r="P21" s="66" t="s">
        <v>1158</v>
      </c>
    </row>
    <row r="22" spans="2:16" x14ac:dyDescent="0.2">
      <c r="C22" s="66" t="s">
        <v>434</v>
      </c>
    </row>
    <row r="23" spans="2:16" x14ac:dyDescent="0.2">
      <c r="C23" s="66" t="s">
        <v>463</v>
      </c>
    </row>
    <row r="24" spans="2:16" x14ac:dyDescent="0.2">
      <c r="C24" s="66" t="s">
        <v>435</v>
      </c>
    </row>
    <row r="25" spans="2:16" ht="15" x14ac:dyDescent="0.25">
      <c r="O25" s="197" t="s">
        <v>1162</v>
      </c>
    </row>
    <row r="26" spans="2:16" ht="15" x14ac:dyDescent="0.25">
      <c r="B26" s="197" t="s">
        <v>436</v>
      </c>
      <c r="C26" s="66" t="s">
        <v>460</v>
      </c>
    </row>
    <row r="27" spans="2:16" ht="15" x14ac:dyDescent="0.25">
      <c r="B27" s="197"/>
      <c r="C27" s="66" t="s">
        <v>441</v>
      </c>
      <c r="O27" s="66" t="s">
        <v>1163</v>
      </c>
      <c r="P27" s="66" t="s">
        <v>1184</v>
      </c>
    </row>
    <row r="28" spans="2:16" x14ac:dyDescent="0.2">
      <c r="C28" s="66" t="s">
        <v>1151</v>
      </c>
      <c r="P28" s="66" t="s">
        <v>1164</v>
      </c>
    </row>
    <row r="29" spans="2:16" x14ac:dyDescent="0.2">
      <c r="C29" s="66" t="s">
        <v>437</v>
      </c>
      <c r="P29" s="66" t="s">
        <v>1170</v>
      </c>
    </row>
    <row r="30" spans="2:16" x14ac:dyDescent="0.2">
      <c r="C30" s="66" t="s">
        <v>1186</v>
      </c>
      <c r="P30" s="66" t="s">
        <v>1165</v>
      </c>
    </row>
    <row r="31" spans="2:16" x14ac:dyDescent="0.2">
      <c r="C31" s="66" t="s">
        <v>438</v>
      </c>
      <c r="P31" s="66" t="s">
        <v>1241</v>
      </c>
    </row>
    <row r="32" spans="2:16" x14ac:dyDescent="0.2">
      <c r="C32" s="66" t="s">
        <v>439</v>
      </c>
      <c r="P32" s="66" t="s">
        <v>1166</v>
      </c>
    </row>
    <row r="33" spans="2:16" x14ac:dyDescent="0.2">
      <c r="C33" s="66" t="s">
        <v>1197</v>
      </c>
      <c r="P33" s="66" t="s">
        <v>1173</v>
      </c>
    </row>
    <row r="34" spans="2:16" x14ac:dyDescent="0.2">
      <c r="P34" s="66" t="s">
        <v>1174</v>
      </c>
    </row>
    <row r="35" spans="2:16" ht="15" x14ac:dyDescent="0.25">
      <c r="B35" s="197" t="s">
        <v>440</v>
      </c>
      <c r="C35" s="66" t="s">
        <v>442</v>
      </c>
      <c r="P35" s="66" t="s">
        <v>1175</v>
      </c>
    </row>
    <row r="36" spans="2:16" x14ac:dyDescent="0.2">
      <c r="C36" s="66" t="s">
        <v>443</v>
      </c>
    </row>
    <row r="37" spans="2:16" x14ac:dyDescent="0.2">
      <c r="C37" s="66" t="s">
        <v>461</v>
      </c>
      <c r="O37" s="66" t="s">
        <v>1167</v>
      </c>
      <c r="P37" s="66" t="s">
        <v>1168</v>
      </c>
    </row>
    <row r="38" spans="2:16" x14ac:dyDescent="0.2">
      <c r="C38" s="66" t="s">
        <v>444</v>
      </c>
      <c r="P38" s="66" t="s">
        <v>1171</v>
      </c>
    </row>
    <row r="39" spans="2:16" x14ac:dyDescent="0.2">
      <c r="C39" s="66" t="s">
        <v>445</v>
      </c>
      <c r="P39" s="66" t="s">
        <v>1176</v>
      </c>
    </row>
    <row r="40" spans="2:16" x14ac:dyDescent="0.2">
      <c r="P40" s="66" t="s">
        <v>1177</v>
      </c>
    </row>
    <row r="41" spans="2:16" ht="15" x14ac:dyDescent="0.25">
      <c r="C41" s="197" t="s">
        <v>1199</v>
      </c>
      <c r="P41" s="66" t="s">
        <v>1242</v>
      </c>
    </row>
    <row r="42" spans="2:16" ht="15" x14ac:dyDescent="0.25">
      <c r="C42" s="197" t="s">
        <v>1198</v>
      </c>
      <c r="P42" s="66" t="s">
        <v>1179</v>
      </c>
    </row>
    <row r="44" spans="2:16" ht="15" x14ac:dyDescent="0.25">
      <c r="B44" s="197" t="s">
        <v>446</v>
      </c>
      <c r="C44" s="66" t="s">
        <v>1153</v>
      </c>
      <c r="O44" s="66" t="s">
        <v>1169</v>
      </c>
      <c r="P44" s="66" t="s">
        <v>1178</v>
      </c>
    </row>
    <row r="45" spans="2:16" x14ac:dyDescent="0.2">
      <c r="C45" s="66" t="s">
        <v>1152</v>
      </c>
      <c r="P45" s="66" t="s">
        <v>1172</v>
      </c>
    </row>
    <row r="46" spans="2:16" ht="15" x14ac:dyDescent="0.25">
      <c r="C46" s="66" t="s">
        <v>447</v>
      </c>
      <c r="I46" s="1603" t="s">
        <v>1256</v>
      </c>
      <c r="P46" s="66" t="s">
        <v>1206</v>
      </c>
    </row>
    <row r="48" spans="2:16" x14ac:dyDescent="0.2">
      <c r="O48" s="66" t="s">
        <v>1180</v>
      </c>
      <c r="P48" s="66" t="s">
        <v>1181</v>
      </c>
    </row>
    <row r="49" spans="2:24" ht="15" x14ac:dyDescent="0.25">
      <c r="B49" s="197" t="s">
        <v>482</v>
      </c>
      <c r="C49" s="66" t="s">
        <v>483</v>
      </c>
      <c r="P49" s="66" t="s">
        <v>1182</v>
      </c>
    </row>
    <row r="50" spans="2:24" x14ac:dyDescent="0.2">
      <c r="C50" s="66" t="s">
        <v>484</v>
      </c>
      <c r="P50" s="66" t="s">
        <v>1183</v>
      </c>
    </row>
    <row r="51" spans="2:24" x14ac:dyDescent="0.2">
      <c r="C51" s="66" t="s">
        <v>1233</v>
      </c>
    </row>
    <row r="52" spans="2:24" x14ac:dyDescent="0.2">
      <c r="C52" s="66" t="s">
        <v>485</v>
      </c>
    </row>
    <row r="53" spans="2:24" ht="28.5" x14ac:dyDescent="0.2">
      <c r="C53" s="66" t="s">
        <v>1232</v>
      </c>
      <c r="O53" s="115" t="s">
        <v>1187</v>
      </c>
      <c r="P53" s="66" t="s">
        <v>1188</v>
      </c>
    </row>
    <row r="54" spans="2:24" x14ac:dyDescent="0.2">
      <c r="P54" s="66" t="s">
        <v>1189</v>
      </c>
    </row>
    <row r="55" spans="2:24" x14ac:dyDescent="0.2">
      <c r="P55" s="66" t="s">
        <v>1221</v>
      </c>
    </row>
    <row r="56" spans="2:24" x14ac:dyDescent="0.2">
      <c r="P56" s="66" t="s">
        <v>1190</v>
      </c>
    </row>
    <row r="57" spans="2:24" x14ac:dyDescent="0.2">
      <c r="P57" s="66" t="s">
        <v>1191</v>
      </c>
    </row>
    <row r="58" spans="2:24" x14ac:dyDescent="0.2">
      <c r="P58" s="66" t="s">
        <v>1192</v>
      </c>
    </row>
    <row r="59" spans="2:24" x14ac:dyDescent="0.2">
      <c r="P59" s="66" t="s">
        <v>1193</v>
      </c>
    </row>
    <row r="62" spans="2:24" ht="15" customHeight="1" x14ac:dyDescent="0.25">
      <c r="O62" s="66" t="s">
        <v>1245</v>
      </c>
      <c r="P62" s="66" t="s">
        <v>1247</v>
      </c>
      <c r="Q62" s="174"/>
      <c r="R62" s="174"/>
      <c r="S62" s="174"/>
      <c r="T62" s="174"/>
      <c r="U62" s="174"/>
      <c r="V62" s="174"/>
      <c r="W62" s="174"/>
      <c r="X62" s="174"/>
    </row>
    <row r="63" spans="2:24" ht="15" x14ac:dyDescent="0.25">
      <c r="P63" s="66" t="s">
        <v>1248</v>
      </c>
      <c r="Q63" s="174"/>
      <c r="R63" s="174"/>
      <c r="S63" s="174"/>
      <c r="T63" s="174"/>
      <c r="U63" s="174"/>
      <c r="V63" s="174"/>
      <c r="W63" s="174"/>
      <c r="X63" s="174"/>
    </row>
    <row r="64" spans="2:24" ht="15" x14ac:dyDescent="0.25">
      <c r="P64" s="66" t="s">
        <v>1249</v>
      </c>
      <c r="Q64" s="174"/>
      <c r="R64" s="174"/>
      <c r="S64" s="174"/>
      <c r="T64" s="174"/>
      <c r="U64" s="174"/>
      <c r="V64" s="174"/>
      <c r="W64" s="174"/>
      <c r="X64" s="174"/>
    </row>
    <row r="65" spans="16:24" x14ac:dyDescent="0.2">
      <c r="P65" s="66" t="s">
        <v>1246</v>
      </c>
      <c r="Q65" s="174"/>
      <c r="R65" s="174"/>
      <c r="S65" s="174"/>
      <c r="T65" s="174"/>
      <c r="U65" s="174"/>
      <c r="V65" s="174"/>
      <c r="W65" s="174"/>
      <c r="X65" s="174"/>
    </row>
    <row r="66" spans="16:24" ht="15" x14ac:dyDescent="0.25">
      <c r="P66" s="66" t="s">
        <v>1250</v>
      </c>
      <c r="Q66" s="174"/>
      <c r="R66" s="174"/>
      <c r="S66" s="174"/>
      <c r="T66" s="174"/>
      <c r="U66" s="174"/>
      <c r="V66" s="174"/>
      <c r="W66" s="174"/>
      <c r="X66" s="174"/>
    </row>
    <row r="67" spans="16:24" ht="15" customHeight="1" x14ac:dyDescent="0.25">
      <c r="P67" s="66" t="s">
        <v>1251</v>
      </c>
      <c r="Q67" s="174"/>
      <c r="R67" s="174"/>
      <c r="S67" s="174"/>
      <c r="T67" s="174"/>
      <c r="U67" s="174"/>
      <c r="V67" s="174"/>
      <c r="W67" s="174"/>
      <c r="X67" s="174"/>
    </row>
    <row r="68" spans="16:24" x14ac:dyDescent="0.2">
      <c r="P68" s="174"/>
      <c r="Q68" s="174"/>
      <c r="R68" s="174"/>
      <c r="S68" s="174"/>
      <c r="T68" s="174"/>
      <c r="U68" s="174"/>
      <c r="V68" s="174"/>
      <c r="W68" s="174"/>
      <c r="X68" s="174"/>
    </row>
    <row r="69" spans="16:24" x14ac:dyDescent="0.2">
      <c r="P69" s="174"/>
      <c r="Q69" s="174"/>
      <c r="R69" s="174"/>
      <c r="S69" s="174"/>
      <c r="T69" s="174"/>
      <c r="U69" s="174"/>
      <c r="V69" s="174"/>
      <c r="W69" s="174"/>
      <c r="X69" s="174"/>
    </row>
    <row r="70" spans="16:24" x14ac:dyDescent="0.2">
      <c r="P70" s="1600"/>
      <c r="Q70" s="1600"/>
      <c r="R70" s="1600"/>
      <c r="S70" s="1600"/>
      <c r="T70" s="1600"/>
      <c r="U70" s="1600"/>
      <c r="V70" s="1600"/>
      <c r="W70" s="1600"/>
      <c r="X70" s="1600"/>
    </row>
    <row r="71" spans="16:24" x14ac:dyDescent="0.2">
      <c r="Q71" s="1600"/>
      <c r="R71" s="1600"/>
      <c r="S71" s="1600"/>
      <c r="T71" s="1600"/>
      <c r="U71" s="1600"/>
      <c r="V71" s="1600"/>
      <c r="W71" s="1600"/>
      <c r="X71" s="1600"/>
    </row>
    <row r="72" spans="16:24" ht="15" customHeight="1" x14ac:dyDescent="0.2">
      <c r="Q72" s="1600"/>
      <c r="R72" s="1600"/>
      <c r="S72" s="1600"/>
      <c r="T72" s="1600"/>
      <c r="U72" s="1600"/>
      <c r="V72" s="1600"/>
      <c r="W72" s="1600"/>
      <c r="X72" s="1600"/>
    </row>
    <row r="76" spans="16:24" x14ac:dyDescent="0.2">
      <c r="P76" s="1600"/>
      <c r="Q76" s="1600"/>
      <c r="R76" s="1600"/>
      <c r="S76" s="1600"/>
      <c r="T76" s="1600"/>
      <c r="U76" s="1600"/>
      <c r="V76" s="1600"/>
      <c r="W76" s="1600"/>
      <c r="X76" s="1600"/>
    </row>
    <row r="79" spans="16:24" ht="15" x14ac:dyDescent="0.25">
      <c r="P79"/>
    </row>
  </sheetData>
  <sheetProtection algorithmName="SHA-512" hashValue="YTTliHIR+Hy1TYvRmxI9iiblLM3Um2MurBsYzKd75UUWpPlX88d56GmRoEKJP24mZy/OYnLEjEO0Xm50sMvZYA==" saltValue="TcoNkp9lpvgx9os3CY5y8g==" spinCount="100000" sheet="1" objects="1" scenarios="1"/>
  <hyperlinks>
    <hyperlink ref="I46" r:id="rId1"/>
  </hyperlinks>
  <pageMargins left="0.70866141732283472" right="0.70866141732283472" top="0.78740157480314965" bottom="0.78740157480314965" header="0.31496062992125984" footer="0.31496062992125984"/>
  <pageSetup paperSize="9" scale="63" fitToHeight="2" orientation="landscape" r:id="rId2"/>
  <headerFooter>
    <oddFooter>&amp;L&amp;D&amp;Cuwe Luzern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1"/>
  <dimension ref="B5:E29"/>
  <sheetViews>
    <sheetView topLeftCell="A7" zoomScaleNormal="100" workbookViewId="0">
      <selection activeCell="E22" sqref="E22"/>
    </sheetView>
  </sheetViews>
  <sheetFormatPr baseColWidth="10" defaultRowHeight="15" x14ac:dyDescent="0.25"/>
  <cols>
    <col min="1" max="1" width="4.140625" customWidth="1"/>
    <col min="2" max="4" width="60.7109375" customWidth="1"/>
    <col min="5" max="5" width="60.7109375" style="1" customWidth="1"/>
    <col min="6" max="6" width="2.85546875" customWidth="1"/>
  </cols>
  <sheetData>
    <row r="5" spans="2:5" x14ac:dyDescent="0.25">
      <c r="B5" s="269" t="s">
        <v>9</v>
      </c>
      <c r="C5" s="269" t="s">
        <v>101</v>
      </c>
      <c r="D5" s="269" t="s">
        <v>91</v>
      </c>
      <c r="E5" s="371" t="s">
        <v>92</v>
      </c>
    </row>
    <row r="6" spans="2:5" ht="45" x14ac:dyDescent="0.25">
      <c r="B6" s="1" t="s">
        <v>94</v>
      </c>
      <c r="C6" s="1" t="s">
        <v>95</v>
      </c>
      <c r="D6" s="1" t="s">
        <v>148</v>
      </c>
      <c r="E6" s="61" t="s">
        <v>93</v>
      </c>
    </row>
    <row r="7" spans="2:5" ht="30" x14ac:dyDescent="0.25">
      <c r="B7" s="1" t="s">
        <v>94</v>
      </c>
      <c r="C7" s="1" t="s">
        <v>96</v>
      </c>
      <c r="D7" s="1" t="s">
        <v>97</v>
      </c>
      <c r="E7" s="61" t="s">
        <v>98</v>
      </c>
    </row>
    <row r="8" spans="2:5" ht="30" x14ac:dyDescent="0.25">
      <c r="B8" s="1" t="s">
        <v>99</v>
      </c>
      <c r="C8" s="1" t="s">
        <v>102</v>
      </c>
      <c r="D8" s="1" t="s">
        <v>100</v>
      </c>
    </row>
    <row r="9" spans="2:5" x14ac:dyDescent="0.25">
      <c r="B9" s="1" t="s">
        <v>99</v>
      </c>
      <c r="C9" s="1" t="s">
        <v>112</v>
      </c>
      <c r="D9" s="1" t="s">
        <v>113</v>
      </c>
    </row>
    <row r="10" spans="2:5" ht="30" x14ac:dyDescent="0.25">
      <c r="B10" s="1" t="s">
        <v>134</v>
      </c>
      <c r="C10" s="1" t="s">
        <v>136</v>
      </c>
      <c r="D10" s="1" t="s">
        <v>135</v>
      </c>
      <c r="E10" s="61" t="s">
        <v>133</v>
      </c>
    </row>
    <row r="11" spans="2:5" ht="30.75" customHeight="1" x14ac:dyDescent="0.25">
      <c r="B11" s="1" t="s">
        <v>94</v>
      </c>
      <c r="C11" s="1" t="s">
        <v>150</v>
      </c>
      <c r="D11" s="1" t="s">
        <v>149</v>
      </c>
      <c r="E11" s="61" t="s">
        <v>151</v>
      </c>
    </row>
    <row r="12" spans="2:5" ht="44.25" customHeight="1" x14ac:dyDescent="0.25">
      <c r="B12" s="1" t="s">
        <v>154</v>
      </c>
      <c r="C12" s="1" t="s">
        <v>155</v>
      </c>
      <c r="D12" s="1" t="s">
        <v>153</v>
      </c>
      <c r="E12" s="61" t="s">
        <v>152</v>
      </c>
    </row>
    <row r="13" spans="2:5" x14ac:dyDescent="0.25">
      <c r="B13" s="1" t="s">
        <v>157</v>
      </c>
      <c r="C13" s="1" t="s">
        <v>159</v>
      </c>
      <c r="D13" s="60" t="s">
        <v>158</v>
      </c>
      <c r="E13" s="61" t="s">
        <v>156</v>
      </c>
    </row>
    <row r="14" spans="2:5" ht="45" x14ac:dyDescent="0.25">
      <c r="B14" s="1" t="s">
        <v>371</v>
      </c>
      <c r="C14" s="1" t="s">
        <v>217</v>
      </c>
      <c r="D14" s="1" t="s">
        <v>216</v>
      </c>
      <c r="E14" s="61" t="s">
        <v>215</v>
      </c>
    </row>
    <row r="15" spans="2:5" ht="30" x14ac:dyDescent="0.25">
      <c r="B15" s="1" t="s">
        <v>220</v>
      </c>
      <c r="C15" s="1" t="s">
        <v>221</v>
      </c>
      <c r="D15" s="1" t="s">
        <v>219</v>
      </c>
      <c r="E15" s="61" t="s">
        <v>218</v>
      </c>
    </row>
    <row r="16" spans="2:5" x14ac:dyDescent="0.25">
      <c r="B16" s="1" t="s">
        <v>294</v>
      </c>
      <c r="C16" s="1" t="s">
        <v>224</v>
      </c>
      <c r="D16" s="1" t="s">
        <v>223</v>
      </c>
      <c r="E16" s="61" t="s">
        <v>222</v>
      </c>
    </row>
    <row r="17" spans="2:5" x14ac:dyDescent="0.25">
      <c r="B17" s="1"/>
      <c r="C17" s="1"/>
      <c r="D17" s="1"/>
    </row>
    <row r="18" spans="2:5" x14ac:dyDescent="0.25">
      <c r="C18" s="1"/>
      <c r="D18" s="1" t="s">
        <v>214</v>
      </c>
      <c r="E18" s="61" t="s">
        <v>213</v>
      </c>
    </row>
    <row r="19" spans="2:5" ht="47.25" customHeight="1" x14ac:dyDescent="0.25">
      <c r="B19" s="1"/>
      <c r="E19" s="61" t="s">
        <v>295</v>
      </c>
    </row>
    <row r="20" spans="2:5" ht="30" x14ac:dyDescent="0.25">
      <c r="B20" s="1" t="s">
        <v>298</v>
      </c>
      <c r="C20" t="s">
        <v>297</v>
      </c>
      <c r="D20" s="1" t="s">
        <v>299</v>
      </c>
      <c r="E20" s="61" t="s">
        <v>296</v>
      </c>
    </row>
    <row r="21" spans="2:5" x14ac:dyDescent="0.25">
      <c r="B21" s="1"/>
      <c r="C21" s="1"/>
      <c r="D21" s="1"/>
    </row>
    <row r="22" spans="2:5" ht="45" x14ac:dyDescent="0.25">
      <c r="B22" s="1" t="s">
        <v>370</v>
      </c>
      <c r="C22" s="1" t="s">
        <v>217</v>
      </c>
      <c r="D22" s="1" t="s">
        <v>369</v>
      </c>
      <c r="E22" s="61" t="s">
        <v>368</v>
      </c>
    </row>
    <row r="24" spans="2:5" x14ac:dyDescent="0.25">
      <c r="B24" t="s">
        <v>386</v>
      </c>
      <c r="C24" t="s">
        <v>385</v>
      </c>
      <c r="D24" t="s">
        <v>383</v>
      </c>
      <c r="E24" s="61" t="s">
        <v>382</v>
      </c>
    </row>
    <row r="25" spans="2:5" ht="45" x14ac:dyDescent="0.25">
      <c r="B25" s="1" t="s">
        <v>425</v>
      </c>
      <c r="C25" t="s">
        <v>385</v>
      </c>
      <c r="D25" s="1" t="s">
        <v>387</v>
      </c>
      <c r="E25" s="61" t="s">
        <v>384</v>
      </c>
    </row>
    <row r="26" spans="2:5" x14ac:dyDescent="0.25">
      <c r="B26" t="s">
        <v>423</v>
      </c>
      <c r="C26" t="s">
        <v>422</v>
      </c>
      <c r="D26" s="1" t="s">
        <v>424</v>
      </c>
      <c r="E26" s="61" t="s">
        <v>421</v>
      </c>
    </row>
    <row r="29" spans="2:5" x14ac:dyDescent="0.25">
      <c r="B29" t="s">
        <v>468</v>
      </c>
      <c r="C29" t="s">
        <v>466</v>
      </c>
      <c r="E29" s="61" t="s">
        <v>467</v>
      </c>
    </row>
  </sheetData>
  <sheetProtection password="D65F" sheet="1" objects="1" scenarios="1"/>
  <hyperlinks>
    <hyperlink ref="E10" r:id="rId1"/>
    <hyperlink ref="E12" r:id="rId2"/>
    <hyperlink ref="E7" r:id="rId3"/>
    <hyperlink ref="E6" r:id="rId4"/>
    <hyperlink ref="E15" r:id="rId5"/>
    <hyperlink ref="E16" r:id="rId6"/>
    <hyperlink ref="E18" r:id="rId7"/>
    <hyperlink ref="E19" r:id="rId8"/>
    <hyperlink ref="E20" r:id="rId9"/>
    <hyperlink ref="E11" r:id="rId10"/>
    <hyperlink ref="E13" r:id="rId11"/>
    <hyperlink ref="E14" r:id="rId12"/>
    <hyperlink ref="E22" r:id="rId13"/>
    <hyperlink ref="E24" r:id="rId14"/>
    <hyperlink ref="E25" r:id="rId15"/>
    <hyperlink ref="E26" r:id="rId16"/>
    <hyperlink ref="E29" r:id="rId17"/>
  </hyperlinks>
  <pageMargins left="0.70866141732283472" right="0.70866141732283472" top="0.78740157480314965" bottom="0.78740157480314965" header="0.31496062992125984" footer="0.31496062992125984"/>
  <pageSetup paperSize="9" scale="52" orientation="landscape" r:id="rId18"/>
  <headerFooter>
    <oddFooter>&amp;L&amp;D&amp;Cuwe Luzern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B4:S57"/>
  <sheetViews>
    <sheetView workbookViewId="0">
      <selection activeCell="G7" sqref="G7"/>
    </sheetView>
  </sheetViews>
  <sheetFormatPr baseColWidth="10" defaultRowHeight="15" x14ac:dyDescent="0.25"/>
  <cols>
    <col min="2" max="2" width="20.42578125" customWidth="1"/>
    <col min="3" max="3" width="18.140625" customWidth="1"/>
  </cols>
  <sheetData>
    <row r="4" spans="2:19" ht="15.75" thickBot="1" x14ac:dyDescent="0.3"/>
    <row r="5" spans="2:19" ht="15.75" thickBot="1" x14ac:dyDescent="0.3">
      <c r="G5" s="244" t="s">
        <v>317</v>
      </c>
      <c r="H5" s="245"/>
      <c r="I5" s="246"/>
    </row>
    <row r="6" spans="2:19" ht="15.75" thickBot="1" x14ac:dyDescent="0.3">
      <c r="B6" s="232"/>
      <c r="C6" s="238" t="s">
        <v>315</v>
      </c>
      <c r="D6" s="233"/>
      <c r="G6" s="247" t="s">
        <v>316</v>
      </c>
      <c r="H6" s="248" t="s">
        <v>315</v>
      </c>
      <c r="I6" s="243"/>
    </row>
    <row r="7" spans="2:19" ht="25.5" x14ac:dyDescent="0.25">
      <c r="B7" s="234" t="s">
        <v>289</v>
      </c>
      <c r="C7" s="239" t="s">
        <v>17</v>
      </c>
      <c r="D7" s="236">
        <v>0.8</v>
      </c>
      <c r="G7" s="241">
        <v>1.2</v>
      </c>
      <c r="H7" s="249" t="s">
        <v>145</v>
      </c>
      <c r="I7" s="243"/>
    </row>
    <row r="8" spans="2:19" ht="15.75" thickBot="1" x14ac:dyDescent="0.3">
      <c r="B8" s="235" t="s">
        <v>290</v>
      </c>
      <c r="C8" s="240" t="s">
        <v>19</v>
      </c>
      <c r="D8" s="237">
        <v>0.4</v>
      </c>
      <c r="G8" s="241">
        <v>1.5</v>
      </c>
      <c r="H8" s="249" t="s">
        <v>57</v>
      </c>
      <c r="I8" s="243"/>
      <c r="S8" s="357"/>
    </row>
    <row r="9" spans="2:19" ht="15.75" thickBot="1" x14ac:dyDescent="0.3">
      <c r="B9" s="198" t="s">
        <v>291</v>
      </c>
      <c r="C9" s="199"/>
      <c r="D9" s="200"/>
      <c r="G9" s="242" t="s">
        <v>318</v>
      </c>
      <c r="H9" s="250" t="s">
        <v>58</v>
      </c>
      <c r="I9" s="243"/>
      <c r="R9" s="356"/>
    </row>
    <row r="16" spans="2:19" ht="15.75" thickBot="1" x14ac:dyDescent="0.3"/>
    <row r="17" spans="2:9" ht="72" x14ac:dyDescent="0.25">
      <c r="B17" s="59" t="s">
        <v>144</v>
      </c>
      <c r="C17" s="668" t="s">
        <v>598</v>
      </c>
      <c r="D17" s="668" t="s">
        <v>596</v>
      </c>
      <c r="E17" s="74" t="s">
        <v>131</v>
      </c>
      <c r="H17" t="s">
        <v>599</v>
      </c>
      <c r="I17" t="s">
        <v>597</v>
      </c>
    </row>
    <row r="18" spans="2:9" x14ac:dyDescent="0.25">
      <c r="B18" s="36" t="s">
        <v>127</v>
      </c>
      <c r="C18" s="15">
        <v>1</v>
      </c>
      <c r="D18" s="15">
        <v>2</v>
      </c>
      <c r="E18" s="16">
        <v>1.5</v>
      </c>
      <c r="H18" s="669">
        <v>350</v>
      </c>
      <c r="I18" s="669">
        <v>0.8</v>
      </c>
    </row>
    <row r="19" spans="2:9" x14ac:dyDescent="0.25">
      <c r="B19" s="36" t="s">
        <v>126</v>
      </c>
      <c r="C19" s="15">
        <v>0.6</v>
      </c>
      <c r="D19" s="15">
        <v>3</v>
      </c>
      <c r="E19" s="16">
        <v>1.99</v>
      </c>
      <c r="F19" s="231"/>
      <c r="H19" s="669">
        <v>250</v>
      </c>
      <c r="I19" s="669">
        <v>1.1000000000000001</v>
      </c>
    </row>
    <row r="20" spans="2:9" x14ac:dyDescent="0.25">
      <c r="B20" s="83" t="s">
        <v>128</v>
      </c>
      <c r="C20" s="84">
        <v>0.8</v>
      </c>
      <c r="D20" s="84">
        <v>4</v>
      </c>
      <c r="E20" s="88">
        <v>3.28</v>
      </c>
      <c r="F20" s="231"/>
      <c r="H20" s="669">
        <v>150</v>
      </c>
      <c r="I20" s="669">
        <v>1.5</v>
      </c>
    </row>
    <row r="21" spans="2:9" ht="15.75" thickBot="1" x14ac:dyDescent="0.3">
      <c r="B21" s="39" t="s">
        <v>173</v>
      </c>
      <c r="C21" s="97">
        <f>D21*0.72</f>
        <v>1.512</v>
      </c>
      <c r="D21" s="17">
        <v>2.1</v>
      </c>
      <c r="E21" s="18">
        <v>2.1</v>
      </c>
      <c r="F21" s="231"/>
      <c r="H21" s="669">
        <v>100</v>
      </c>
      <c r="I21" s="669">
        <v>1.8</v>
      </c>
    </row>
    <row r="22" spans="2:9" ht="15.75" thickBot="1" x14ac:dyDescent="0.3">
      <c r="B22" s="65"/>
      <c r="C22" s="65"/>
      <c r="D22" s="65"/>
      <c r="E22" s="68"/>
      <c r="F22" s="231"/>
      <c r="H22" s="669">
        <v>50</v>
      </c>
      <c r="I22" s="669">
        <v>2.5</v>
      </c>
    </row>
    <row r="23" spans="2:9" ht="84" x14ac:dyDescent="0.25">
      <c r="B23" s="600" t="s">
        <v>509</v>
      </c>
      <c r="C23" s="601" t="s">
        <v>47</v>
      </c>
      <c r="D23" s="602" t="s">
        <v>46</v>
      </c>
      <c r="E23" s="603" t="s">
        <v>493</v>
      </c>
      <c r="F23" s="231"/>
      <c r="H23" s="669">
        <v>0</v>
      </c>
      <c r="I23" s="669">
        <v>4</v>
      </c>
    </row>
    <row r="24" spans="2:9" ht="28.5" x14ac:dyDescent="0.25">
      <c r="B24" s="604" t="s">
        <v>38</v>
      </c>
      <c r="C24" s="605">
        <v>2.42</v>
      </c>
      <c r="D24" s="606">
        <v>3.21</v>
      </c>
      <c r="E24" s="607">
        <v>1.5</v>
      </c>
      <c r="F24" s="231"/>
    </row>
    <row r="25" spans="2:9" ht="42" x14ac:dyDescent="0.25">
      <c r="B25" s="608" t="s">
        <v>495</v>
      </c>
      <c r="C25" s="609">
        <v>13.6</v>
      </c>
      <c r="D25" s="610">
        <v>18.2</v>
      </c>
      <c r="E25" s="611">
        <v>25</v>
      </c>
      <c r="H25" s="669">
        <v>285000</v>
      </c>
    </row>
    <row r="26" spans="2:9" ht="55.5" x14ac:dyDescent="0.25">
      <c r="B26" s="608" t="s">
        <v>496</v>
      </c>
      <c r="C26" s="609">
        <v>18.5</v>
      </c>
      <c r="D26" s="610">
        <v>30.6</v>
      </c>
      <c r="E26" s="611">
        <v>20.6</v>
      </c>
      <c r="H26" s="669">
        <v>320</v>
      </c>
      <c r="I26" t="s">
        <v>600</v>
      </c>
    </row>
    <row r="27" spans="2:9" ht="42.75" x14ac:dyDescent="0.25">
      <c r="B27" s="664" t="s">
        <v>595</v>
      </c>
      <c r="C27" s="609">
        <v>1.8</v>
      </c>
      <c r="D27" s="610">
        <v>2.29</v>
      </c>
      <c r="E27" s="611">
        <v>2.2000000000000002</v>
      </c>
      <c r="H27" s="669">
        <v>230</v>
      </c>
      <c r="I27" t="s">
        <v>601</v>
      </c>
    </row>
    <row r="28" spans="2:9" x14ac:dyDescent="0.25">
      <c r="B28" s="608" t="s">
        <v>40</v>
      </c>
      <c r="C28" s="609">
        <v>2.14</v>
      </c>
      <c r="D28" s="610">
        <v>2.98</v>
      </c>
      <c r="E28" s="611">
        <v>3.11</v>
      </c>
    </row>
    <row r="29" spans="2:9" ht="15.75" thickBot="1" x14ac:dyDescent="0.3">
      <c r="B29" s="667" t="s">
        <v>42</v>
      </c>
      <c r="C29" s="612">
        <v>1.54</v>
      </c>
      <c r="D29" s="613">
        <v>2.23</v>
      </c>
      <c r="E29" s="614">
        <v>1.74</v>
      </c>
    </row>
    <row r="32" spans="2:9" x14ac:dyDescent="0.25">
      <c r="B32" s="1113"/>
      <c r="C32" s="243"/>
      <c r="D32" s="243"/>
      <c r="E32" s="243"/>
      <c r="F32" s="2023"/>
      <c r="G32" s="2023"/>
    </row>
    <row r="33" spans="2:12" x14ac:dyDescent="0.25">
      <c r="B33" s="243"/>
      <c r="C33" s="1114"/>
      <c r="D33" s="1114"/>
      <c r="E33" s="1115"/>
      <c r="F33" s="1114"/>
      <c r="G33" s="1114"/>
      <c r="H33" s="837"/>
    </row>
    <row r="34" spans="2:12" x14ac:dyDescent="0.25">
      <c r="B34" s="358"/>
      <c r="C34" s="1012"/>
      <c r="D34" s="1012"/>
      <c r="E34" s="243"/>
      <c r="F34" s="1114"/>
      <c r="G34" s="1114"/>
    </row>
    <row r="35" spans="2:12" x14ac:dyDescent="0.25">
      <c r="B35" s="358"/>
      <c r="C35" s="1012"/>
      <c r="D35" s="1012"/>
      <c r="E35" s="243"/>
      <c r="F35" s="1114"/>
      <c r="G35" s="1114"/>
    </row>
    <row r="36" spans="2:12" x14ac:dyDescent="0.25">
      <c r="B36" s="358"/>
      <c r="C36" s="1012"/>
      <c r="D36" s="1012"/>
      <c r="E36" s="243"/>
      <c r="F36" s="1114"/>
      <c r="G36" s="1114"/>
    </row>
    <row r="37" spans="2:12" x14ac:dyDescent="0.25">
      <c r="B37" s="358"/>
      <c r="C37" s="1012"/>
      <c r="D37" s="1012"/>
      <c r="E37" s="243"/>
      <c r="F37" s="1114"/>
      <c r="G37" s="1114"/>
    </row>
    <row r="38" spans="2:12" x14ac:dyDescent="0.25">
      <c r="B38" s="358"/>
      <c r="C38" s="1012"/>
      <c r="D38" s="1012"/>
      <c r="E38" s="243"/>
      <c r="F38" s="1114"/>
      <c r="G38" s="1114"/>
    </row>
    <row r="39" spans="2:12" x14ac:dyDescent="0.25">
      <c r="B39" s="358"/>
      <c r="C39" s="1012"/>
      <c r="D39" s="1012"/>
      <c r="E39" s="243"/>
      <c r="F39" s="1114"/>
      <c r="G39" s="1114"/>
    </row>
    <row r="40" spans="2:12" x14ac:dyDescent="0.25">
      <c r="B40" s="358"/>
      <c r="C40" s="1012"/>
      <c r="D40" s="1012"/>
      <c r="E40" s="243"/>
      <c r="F40" s="1114"/>
      <c r="G40" s="1114"/>
    </row>
    <row r="41" spans="2:12" x14ac:dyDescent="0.25">
      <c r="B41" s="358"/>
      <c r="C41" s="1012"/>
      <c r="D41" s="1012"/>
      <c r="E41" s="243"/>
      <c r="F41" s="1114"/>
      <c r="G41" s="1114"/>
    </row>
    <row r="42" spans="2:12" x14ac:dyDescent="0.25">
      <c r="B42" s="358"/>
      <c r="C42" s="1012"/>
      <c r="D42" s="1012"/>
      <c r="E42" s="243"/>
      <c r="F42" s="1114"/>
      <c r="G42" s="1114"/>
      <c r="H42" s="271"/>
      <c r="I42" s="271"/>
      <c r="J42" s="271"/>
      <c r="K42" s="271"/>
      <c r="L42" s="271"/>
    </row>
    <row r="43" spans="2:12" x14ac:dyDescent="0.25">
      <c r="B43" s="358"/>
      <c r="C43" s="1012"/>
      <c r="D43" s="1012"/>
      <c r="E43" s="243"/>
      <c r="F43" s="1114"/>
      <c r="G43" s="1114"/>
    </row>
    <row r="44" spans="2:12" x14ac:dyDescent="0.25">
      <c r="B44" s="358"/>
      <c r="C44" s="1012"/>
      <c r="D44" s="1012"/>
      <c r="E44" s="243"/>
      <c r="F44" s="1114"/>
      <c r="G44" s="1114"/>
    </row>
    <row r="45" spans="2:12" x14ac:dyDescent="0.25">
      <c r="B45" s="358"/>
      <c r="C45" s="1012"/>
      <c r="D45" s="1012"/>
      <c r="E45" s="243"/>
      <c r="F45" s="1114"/>
      <c r="G45" s="1114"/>
    </row>
    <row r="46" spans="2:12" x14ac:dyDescent="0.25">
      <c r="B46" s="358"/>
      <c r="C46" s="1012"/>
      <c r="D46" s="1012"/>
      <c r="E46" s="243"/>
      <c r="F46" s="1114"/>
      <c r="G46" s="1114"/>
    </row>
    <row r="47" spans="2:12" x14ac:dyDescent="0.25">
      <c r="B47" s="358"/>
      <c r="C47" s="1012"/>
      <c r="D47" s="1012"/>
      <c r="E47" s="243"/>
      <c r="F47" s="1114"/>
      <c r="G47" s="1114"/>
    </row>
    <row r="48" spans="2:12" x14ac:dyDescent="0.25">
      <c r="B48" s="358"/>
      <c r="C48" s="1012"/>
      <c r="D48" s="1012"/>
      <c r="E48" s="243"/>
      <c r="F48" s="1114"/>
      <c r="G48" s="1114"/>
    </row>
    <row r="57" spans="4:4" x14ac:dyDescent="0.25">
      <c r="D57" s="370"/>
    </row>
  </sheetData>
  <mergeCells count="1">
    <mergeCell ref="F32:G32"/>
  </mergeCells>
  <conditionalFormatting sqref="B10:B15">
    <cfRule type="colorScale" priority="1">
      <colorScale>
        <cfvo type="percent" val="0"/>
        <cfvo type="percent" val="Rot"/>
        <cfvo type="percent" val="Grün"/>
        <color rgb="FFF8696B"/>
        <color rgb="FFFFEB84"/>
        <color rgb="FF63BE7B"/>
      </colorScale>
    </cfRule>
  </conditionalFormatting>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dimension ref="A1:AF121"/>
  <sheetViews>
    <sheetView showGridLines="0" showRowColHeaders="0" workbookViewId="0"/>
  </sheetViews>
  <sheetFormatPr baseColWidth="10" defaultColWidth="0" defaultRowHeight="14.25" zeroHeight="1" x14ac:dyDescent="0.2"/>
  <cols>
    <col min="1" max="1" width="10.7109375" style="66" customWidth="1"/>
    <col min="2" max="3" width="3.7109375" style="66" customWidth="1"/>
    <col min="4" max="4" width="34" style="66" customWidth="1"/>
    <col min="5" max="6" width="24.7109375" style="66" customWidth="1"/>
    <col min="7" max="7" width="11.42578125" style="1144" customWidth="1"/>
    <col min="8" max="8" width="13.140625" style="1144" bestFit="1" customWidth="1"/>
    <col min="9" max="10" width="11.42578125" style="66" customWidth="1"/>
    <col min="11" max="11" width="30.7109375" style="66" customWidth="1"/>
    <col min="12" max="15" width="11.42578125" style="66" customWidth="1"/>
    <col min="16" max="32" width="0" style="66" hidden="1" customWidth="1"/>
    <col min="33" max="16384" width="11.42578125" style="66" hidden="1"/>
  </cols>
  <sheetData>
    <row r="1" spans="2:32" x14ac:dyDescent="0.2"/>
    <row r="2" spans="2:32" ht="15" thickBot="1" x14ac:dyDescent="0.25"/>
    <row r="3" spans="2:32" ht="18" customHeight="1" x14ac:dyDescent="0.2">
      <c r="B3" s="1461"/>
      <c r="C3" s="1462"/>
      <c r="D3" s="1462"/>
      <c r="E3" s="1462"/>
      <c r="F3" s="1462"/>
      <c r="G3" s="1463"/>
      <c r="H3" s="1463"/>
      <c r="I3" s="1462"/>
      <c r="J3" s="1462"/>
      <c r="K3" s="1462"/>
      <c r="L3" s="1462"/>
      <c r="M3" s="1462"/>
      <c r="N3" s="1464"/>
    </row>
    <row r="4" spans="2:32" ht="18" customHeight="1" x14ac:dyDescent="0.35">
      <c r="B4" s="1465"/>
      <c r="C4" s="1466"/>
      <c r="D4" s="1467" t="s">
        <v>1091</v>
      </c>
      <c r="E4" s="1466"/>
      <c r="F4" s="1466"/>
      <c r="G4" s="1468"/>
      <c r="H4" s="1468"/>
      <c r="I4" s="1466"/>
      <c r="J4" s="1466"/>
      <c r="K4" s="1501" t="s">
        <v>1100</v>
      </c>
      <c r="L4" s="1466"/>
      <c r="M4" s="1466"/>
      <c r="N4" s="1469"/>
    </row>
    <row r="5" spans="2:32" ht="18" customHeight="1" x14ac:dyDescent="0.2">
      <c r="B5" s="1465"/>
      <c r="C5" s="1466"/>
      <c r="D5" s="1466"/>
      <c r="E5" s="1466"/>
      <c r="F5" s="1466"/>
      <c r="G5" s="1468"/>
      <c r="H5" s="1468"/>
      <c r="I5" s="1466"/>
      <c r="J5" s="1466"/>
      <c r="K5" s="1501" t="s">
        <v>1101</v>
      </c>
      <c r="L5" s="1466"/>
      <c r="M5" s="1466"/>
      <c r="N5" s="1469"/>
    </row>
    <row r="6" spans="2:32" ht="18" customHeight="1" x14ac:dyDescent="0.2">
      <c r="B6" s="1465"/>
      <c r="C6" s="1466"/>
      <c r="D6" s="1466" t="s">
        <v>1085</v>
      </c>
      <c r="E6" s="1466"/>
      <c r="F6" s="1466"/>
      <c r="G6" s="1468"/>
      <c r="H6" s="1468"/>
      <c r="I6" s="1466"/>
      <c r="J6" s="1466"/>
      <c r="K6" s="1501" t="s">
        <v>1102</v>
      </c>
      <c r="L6" s="1466"/>
      <c r="M6" s="1466"/>
      <c r="N6" s="1469"/>
      <c r="W6" s="303"/>
      <c r="X6" s="303"/>
      <c r="Y6" s="303"/>
      <c r="Z6" s="303"/>
      <c r="AA6" s="303"/>
    </row>
    <row r="7" spans="2:32" ht="18" customHeight="1" x14ac:dyDescent="0.2">
      <c r="B7" s="1465"/>
      <c r="C7" s="1466"/>
      <c r="D7" s="1466" t="s">
        <v>1094</v>
      </c>
      <c r="E7" s="1466"/>
      <c r="F7" s="1466"/>
      <c r="G7" s="1468"/>
      <c r="H7" s="1468"/>
      <c r="I7" s="1466"/>
      <c r="J7" s="1466"/>
      <c r="K7" s="1501" t="s">
        <v>1097</v>
      </c>
      <c r="L7" s="1466"/>
      <c r="M7" s="1466"/>
      <c r="N7" s="1469"/>
      <c r="W7" s="303"/>
      <c r="X7" s="303"/>
      <c r="Y7" s="303"/>
      <c r="Z7" s="303"/>
      <c r="AA7" s="303"/>
    </row>
    <row r="8" spans="2:32" ht="18" customHeight="1" x14ac:dyDescent="0.2">
      <c r="B8" s="1465"/>
      <c r="C8" s="1466"/>
      <c r="D8" s="1466" t="s">
        <v>1093</v>
      </c>
      <c r="E8" s="1466"/>
      <c r="F8" s="1466"/>
      <c r="G8" s="1468"/>
      <c r="H8" s="1468"/>
      <c r="I8" s="1466"/>
      <c r="J8" s="1466"/>
      <c r="K8" s="1501" t="s">
        <v>1098</v>
      </c>
      <c r="L8" s="1466"/>
      <c r="M8" s="1466"/>
      <c r="N8" s="1469"/>
      <c r="W8" s="303"/>
      <c r="X8" s="303"/>
      <c r="Y8" s="303"/>
      <c r="Z8" s="303"/>
      <c r="AA8" s="303"/>
    </row>
    <row r="9" spans="2:32" ht="18" customHeight="1" x14ac:dyDescent="0.2">
      <c r="B9" s="1465"/>
      <c r="C9" s="1466"/>
      <c r="D9" s="1466" t="s">
        <v>1092</v>
      </c>
      <c r="E9" s="1466"/>
      <c r="F9" s="1466"/>
      <c r="G9" s="1468"/>
      <c r="H9" s="1468"/>
      <c r="I9" s="1466"/>
      <c r="J9" s="1466"/>
      <c r="K9" s="1501" t="s">
        <v>1099</v>
      </c>
      <c r="L9" s="1466"/>
      <c r="M9" s="1466"/>
      <c r="N9" s="1469"/>
      <c r="W9" s="303"/>
      <c r="X9" s="303"/>
      <c r="Y9" s="303"/>
      <c r="Z9" s="303"/>
      <c r="AA9" s="303"/>
    </row>
    <row r="10" spans="2:32" ht="18" customHeight="1" x14ac:dyDescent="0.2">
      <c r="B10" s="1465"/>
      <c r="C10" s="1466"/>
      <c r="D10" s="1466" t="s">
        <v>1086</v>
      </c>
      <c r="E10" s="1466"/>
      <c r="F10" s="1466"/>
      <c r="G10" s="1468"/>
      <c r="H10" s="1468"/>
      <c r="I10" s="1466"/>
      <c r="J10" s="1466"/>
      <c r="K10" s="1500"/>
      <c r="L10" s="1466"/>
      <c r="M10" s="1466"/>
      <c r="N10" s="1469"/>
      <c r="W10" s="303"/>
      <c r="X10" s="303"/>
      <c r="Y10" s="303"/>
      <c r="Z10" s="303"/>
      <c r="AA10" s="303"/>
      <c r="AD10" s="67"/>
      <c r="AE10" s="67"/>
      <c r="AF10" s="67"/>
    </row>
    <row r="11" spans="2:32" ht="18" customHeight="1" x14ac:dyDescent="0.2">
      <c r="B11" s="1465"/>
      <c r="C11" s="1466"/>
      <c r="D11" s="1466" t="s">
        <v>1087</v>
      </c>
      <c r="E11" s="1466"/>
      <c r="F11" s="1466"/>
      <c r="G11" s="1468"/>
      <c r="H11" s="1468"/>
      <c r="I11" s="1466"/>
      <c r="J11" s="1466"/>
      <c r="K11" s="1466"/>
      <c r="L11" s="1466"/>
      <c r="M11" s="1466"/>
      <c r="N11" s="1469"/>
      <c r="W11" s="303"/>
      <c r="X11" s="303"/>
      <c r="Y11" s="303"/>
      <c r="Z11" s="303"/>
      <c r="AA11" s="303"/>
      <c r="AC11" s="67"/>
      <c r="AD11" s="67"/>
      <c r="AE11" s="67"/>
      <c r="AF11" s="67"/>
    </row>
    <row r="12" spans="2:32" ht="18" customHeight="1" x14ac:dyDescent="0.25">
      <c r="B12" s="1465"/>
      <c r="C12" s="1466"/>
      <c r="D12" s="1466"/>
      <c r="E12" s="1466"/>
      <c r="F12" s="1466"/>
      <c r="G12" s="1468"/>
      <c r="H12" s="1468"/>
      <c r="I12" s="1466"/>
      <c r="J12" s="1466"/>
      <c r="K12" s="1470" t="s">
        <v>1088</v>
      </c>
      <c r="L12" s="1466"/>
      <c r="M12" s="1466"/>
      <c r="N12" s="1469"/>
      <c r="W12" s="303"/>
      <c r="X12" s="303"/>
      <c r="Y12" s="303"/>
      <c r="Z12" s="303"/>
      <c r="AA12" s="303"/>
      <c r="AD12" s="67"/>
      <c r="AE12" s="67"/>
      <c r="AF12" s="67"/>
    </row>
    <row r="13" spans="2:32" ht="18" customHeight="1" thickBot="1" x14ac:dyDescent="0.3">
      <c r="B13" s="1465"/>
      <c r="C13" s="1466"/>
      <c r="D13" s="1466"/>
      <c r="E13" s="1466"/>
      <c r="F13" s="1466"/>
      <c r="G13" s="1468"/>
      <c r="H13" s="1468"/>
      <c r="I13" s="1466"/>
      <c r="J13" s="1466"/>
      <c r="K13" s="1470" t="s">
        <v>1060</v>
      </c>
      <c r="L13" s="1471" t="s">
        <v>1103</v>
      </c>
      <c r="M13" s="1471" t="s">
        <v>1104</v>
      </c>
      <c r="N13" s="1469"/>
      <c r="W13" s="303"/>
      <c r="X13" s="303"/>
      <c r="Y13" s="303"/>
      <c r="Z13" s="303"/>
      <c r="AA13" s="303"/>
      <c r="AD13" s="67"/>
      <c r="AE13" s="67"/>
      <c r="AF13" s="67"/>
    </row>
    <row r="14" spans="2:32" ht="18" customHeight="1" x14ac:dyDescent="0.2">
      <c r="B14" s="1465"/>
      <c r="C14" s="256"/>
      <c r="D14" s="193"/>
      <c r="E14" s="193"/>
      <c r="F14" s="193"/>
      <c r="G14" s="1453"/>
      <c r="H14" s="1454"/>
      <c r="I14" s="1466"/>
      <c r="J14" s="1466"/>
      <c r="K14" s="1472" t="s">
        <v>28</v>
      </c>
      <c r="L14" s="1473">
        <v>114</v>
      </c>
      <c r="M14" s="1473">
        <v>183</v>
      </c>
      <c r="N14" s="1469"/>
      <c r="W14" s="303"/>
      <c r="X14" s="303"/>
      <c r="Y14" s="303"/>
      <c r="Z14" s="303"/>
      <c r="AA14" s="303"/>
      <c r="AC14" s="67"/>
      <c r="AD14" s="67"/>
      <c r="AE14" s="67"/>
      <c r="AF14" s="67"/>
    </row>
    <row r="15" spans="2:32" ht="18" customHeight="1" x14ac:dyDescent="0.3">
      <c r="B15" s="1465"/>
      <c r="C15" s="779"/>
      <c r="D15" s="1455" t="s">
        <v>1089</v>
      </c>
      <c r="E15" s="137"/>
      <c r="F15" s="137"/>
      <c r="G15" s="1456"/>
      <c r="H15" s="1457"/>
      <c r="I15" s="1466"/>
      <c r="J15" s="1466"/>
      <c r="K15" s="1472" t="s">
        <v>29</v>
      </c>
      <c r="L15" s="1473">
        <v>90</v>
      </c>
      <c r="M15" s="1473">
        <v>147</v>
      </c>
      <c r="N15" s="1469"/>
      <c r="W15" s="303"/>
      <c r="X15" s="303"/>
      <c r="Y15" s="303"/>
      <c r="Z15" s="303"/>
      <c r="AA15" s="303"/>
      <c r="AD15" s="67"/>
      <c r="AE15" s="67"/>
      <c r="AF15" s="67"/>
    </row>
    <row r="16" spans="2:32" ht="18" customHeight="1" x14ac:dyDescent="0.2">
      <c r="B16" s="1465"/>
      <c r="C16" s="779"/>
      <c r="D16" s="137"/>
      <c r="E16" s="137"/>
      <c r="F16" s="1458" t="s">
        <v>1066</v>
      </c>
      <c r="G16" s="1456" t="s">
        <v>1105</v>
      </c>
      <c r="H16" s="1457" t="s">
        <v>1106</v>
      </c>
      <c r="I16" s="1466"/>
      <c r="J16" s="1466"/>
      <c r="K16" s="1472" t="s">
        <v>49</v>
      </c>
      <c r="L16" s="1473">
        <v>61</v>
      </c>
      <c r="M16" s="1473">
        <v>134</v>
      </c>
      <c r="N16" s="1469"/>
      <c r="W16" s="303"/>
      <c r="X16" s="303"/>
      <c r="Y16" s="303"/>
      <c r="Z16" s="303"/>
      <c r="AA16" s="303"/>
      <c r="AD16" s="67"/>
      <c r="AE16" s="67"/>
      <c r="AF16" s="67"/>
    </row>
    <row r="17" spans="2:28" ht="18" customHeight="1" x14ac:dyDescent="0.2">
      <c r="B17" s="1465"/>
      <c r="C17" s="779"/>
      <c r="D17" s="1498" t="s">
        <v>1061</v>
      </c>
      <c r="E17" s="1585" t="s">
        <v>28</v>
      </c>
      <c r="F17" s="1498"/>
      <c r="G17" s="1456">
        <f>VLOOKUP(E17,ListeRechner,2,FALSE)</f>
        <v>114</v>
      </c>
      <c r="H17" s="1457">
        <f>VLOOKUP(E17,ListeRechner,3,FALSE)</f>
        <v>183</v>
      </c>
      <c r="I17" s="1466"/>
      <c r="J17" s="1466"/>
      <c r="K17" s="1472" t="s">
        <v>30</v>
      </c>
      <c r="L17" s="1473">
        <v>400</v>
      </c>
      <c r="M17" s="1473">
        <v>750</v>
      </c>
      <c r="N17" s="1469"/>
      <c r="W17" s="1543"/>
      <c r="X17" s="1502"/>
      <c r="Y17" s="1544"/>
      <c r="Z17" s="303"/>
      <c r="AA17" s="303"/>
      <c r="AB17" s="1542"/>
    </row>
    <row r="18" spans="2:28" ht="18" customHeight="1" x14ac:dyDescent="0.2">
      <c r="B18" s="1465"/>
      <c r="C18" s="779"/>
      <c r="D18" s="1498" t="s">
        <v>1062</v>
      </c>
      <c r="E18" s="1585">
        <v>10</v>
      </c>
      <c r="F18" s="1498" t="s">
        <v>202</v>
      </c>
      <c r="G18" s="1456"/>
      <c r="H18" s="1457"/>
      <c r="I18" s="1466"/>
      <c r="J18" s="1466"/>
      <c r="K18" s="1472" t="s">
        <v>31</v>
      </c>
      <c r="L18" s="1473">
        <v>271</v>
      </c>
      <c r="M18" s="1473">
        <v>378</v>
      </c>
      <c r="N18" s="1469"/>
      <c r="W18" s="1543"/>
      <c r="X18" s="1543"/>
      <c r="Y18" s="1543"/>
      <c r="Z18" s="303"/>
      <c r="AA18" s="303"/>
    </row>
    <row r="19" spans="2:28" ht="18" customHeight="1" x14ac:dyDescent="0.2">
      <c r="B19" s="1465"/>
      <c r="C19" s="779"/>
      <c r="D19" s="1498"/>
      <c r="E19" s="1456"/>
      <c r="F19" s="1498"/>
      <c r="G19" s="1456"/>
      <c r="H19" s="1457"/>
      <c r="I19" s="1466"/>
      <c r="J19" s="1466"/>
      <c r="K19" s="1472" t="s">
        <v>32</v>
      </c>
      <c r="L19" s="1473">
        <v>42</v>
      </c>
      <c r="M19" s="1473">
        <v>65</v>
      </c>
      <c r="N19" s="1469"/>
      <c r="W19" s="303"/>
      <c r="X19" s="303"/>
      <c r="Y19" s="303"/>
      <c r="Z19" s="303"/>
      <c r="AA19" s="303"/>
    </row>
    <row r="20" spans="2:28" ht="18" customHeight="1" x14ac:dyDescent="0.2">
      <c r="B20" s="1465"/>
      <c r="C20" s="779"/>
      <c r="D20" s="1498" t="s">
        <v>1064</v>
      </c>
      <c r="E20" s="1505">
        <f>E18*G17/1000</f>
        <v>1.1399999999999999</v>
      </c>
      <c r="F20" s="1498" t="s">
        <v>1096</v>
      </c>
      <c r="G20" s="1456"/>
      <c r="H20" s="1457"/>
      <c r="I20" s="1466"/>
      <c r="J20" s="1466"/>
      <c r="K20" s="1472" t="s">
        <v>33</v>
      </c>
      <c r="L20" s="1473">
        <v>35</v>
      </c>
      <c r="M20" s="1473">
        <v>60</v>
      </c>
      <c r="N20" s="1469"/>
    </row>
    <row r="21" spans="2:28" ht="18" customHeight="1" x14ac:dyDescent="0.2">
      <c r="B21" s="1465"/>
      <c r="C21" s="779"/>
      <c r="D21" s="1498"/>
      <c r="E21" s="1505">
        <f>E18*H17/1000</f>
        <v>1.83</v>
      </c>
      <c r="F21" s="1498" t="s">
        <v>46</v>
      </c>
      <c r="G21" s="1456"/>
      <c r="H21" s="1457"/>
      <c r="I21" s="1466"/>
      <c r="J21" s="1466"/>
      <c r="K21" s="1472" t="s">
        <v>90</v>
      </c>
      <c r="L21" s="1473">
        <v>890</v>
      </c>
      <c r="M21" s="1468">
        <v>1180</v>
      </c>
      <c r="N21" s="1469"/>
    </row>
    <row r="22" spans="2:28" ht="18" customHeight="1" x14ac:dyDescent="0.2">
      <c r="B22" s="1465"/>
      <c r="C22" s="779"/>
      <c r="D22" s="1498"/>
      <c r="E22" s="1505">
        <f>E18*G17/40</f>
        <v>28.5</v>
      </c>
      <c r="F22" s="1498" t="s">
        <v>1090</v>
      </c>
      <c r="G22" s="1456"/>
      <c r="H22" s="1457"/>
      <c r="I22" s="1466"/>
      <c r="J22" s="1466"/>
      <c r="K22" s="1472" t="s">
        <v>34</v>
      </c>
      <c r="L22" s="1473">
        <v>700</v>
      </c>
      <c r="M22" s="1473">
        <v>950</v>
      </c>
      <c r="N22" s="1469"/>
    </row>
    <row r="23" spans="2:28" ht="18" customHeight="1" x14ac:dyDescent="0.2">
      <c r="B23" s="1465"/>
      <c r="C23" s="779"/>
      <c r="D23" s="1498"/>
      <c r="E23" s="1505">
        <f>E18*H17/80</f>
        <v>22.875</v>
      </c>
      <c r="F23" s="1498" t="s">
        <v>1065</v>
      </c>
      <c r="G23" s="1456"/>
      <c r="H23" s="1457"/>
      <c r="I23" s="1466"/>
      <c r="J23" s="1466"/>
      <c r="K23" s="1472" t="s">
        <v>35</v>
      </c>
      <c r="L23" s="1473">
        <v>600</v>
      </c>
      <c r="M23" s="1473">
        <v>820</v>
      </c>
      <c r="N23" s="1469"/>
    </row>
    <row r="24" spans="2:28" ht="18" customHeight="1" thickBot="1" x14ac:dyDescent="0.25">
      <c r="B24" s="1465"/>
      <c r="C24" s="257"/>
      <c r="D24" s="258"/>
      <c r="E24" s="258"/>
      <c r="F24" s="258"/>
      <c r="G24" s="1459"/>
      <c r="H24" s="1460"/>
      <c r="I24" s="1466"/>
      <c r="J24" s="1466"/>
      <c r="K24" s="1474" t="s">
        <v>88</v>
      </c>
      <c r="L24" s="1473">
        <v>2500</v>
      </c>
      <c r="M24" s="1473">
        <v>4000</v>
      </c>
      <c r="N24" s="1469"/>
    </row>
    <row r="25" spans="2:28" ht="18" customHeight="1" x14ac:dyDescent="0.2">
      <c r="B25" s="1465"/>
      <c r="C25" s="1466"/>
      <c r="D25" s="1466"/>
      <c r="E25" s="1466"/>
      <c r="F25" s="1466"/>
      <c r="G25" s="1468"/>
      <c r="H25" s="1468"/>
      <c r="I25" s="1466"/>
      <c r="J25" s="1466"/>
      <c r="K25" s="1474" t="s">
        <v>105</v>
      </c>
      <c r="L25" s="1468">
        <v>627</v>
      </c>
      <c r="M25" s="1473">
        <v>1000</v>
      </c>
      <c r="N25" s="1469"/>
    </row>
    <row r="26" spans="2:28" ht="18" customHeight="1" thickBot="1" x14ac:dyDescent="0.25">
      <c r="B26" s="1465"/>
      <c r="C26" s="1466"/>
      <c r="D26" s="1466"/>
      <c r="E26" s="1466"/>
      <c r="F26" s="1466"/>
      <c r="G26" s="1468"/>
      <c r="H26" s="1468"/>
      <c r="I26" s="1466"/>
      <c r="J26" s="1466"/>
      <c r="K26" s="1474" t="s">
        <v>106</v>
      </c>
      <c r="L26" s="1468">
        <v>114</v>
      </c>
      <c r="M26" s="1473">
        <v>183</v>
      </c>
      <c r="N26" s="1469"/>
    </row>
    <row r="27" spans="2:28" ht="18" customHeight="1" x14ac:dyDescent="0.2">
      <c r="B27" s="1465"/>
      <c r="C27" s="256"/>
      <c r="D27" s="193"/>
      <c r="E27" s="193"/>
      <c r="F27" s="193"/>
      <c r="G27" s="1453"/>
      <c r="H27" s="1454"/>
      <c r="I27" s="1466"/>
      <c r="J27" s="1466"/>
      <c r="K27" s="1474" t="s">
        <v>39</v>
      </c>
      <c r="L27" s="1468">
        <v>570</v>
      </c>
      <c r="M27" s="1473">
        <v>915</v>
      </c>
      <c r="N27" s="1469"/>
    </row>
    <row r="28" spans="2:28" ht="18" customHeight="1" x14ac:dyDescent="0.3">
      <c r="B28" s="1465"/>
      <c r="C28" s="779"/>
      <c r="D28" s="1455" t="s">
        <v>1089</v>
      </c>
      <c r="E28" s="137"/>
      <c r="F28" s="137"/>
      <c r="G28" s="1456"/>
      <c r="H28" s="1457"/>
      <c r="I28" s="1466"/>
      <c r="J28" s="1466"/>
      <c r="K28" s="1474" t="s">
        <v>42</v>
      </c>
      <c r="L28" s="1468">
        <v>1425</v>
      </c>
      <c r="M28" s="1473">
        <v>2290</v>
      </c>
      <c r="N28" s="1469"/>
    </row>
    <row r="29" spans="2:28" ht="18" customHeight="1" x14ac:dyDescent="0.2">
      <c r="B29" s="1465"/>
      <c r="C29" s="779"/>
      <c r="D29" s="137"/>
      <c r="E29" s="137"/>
      <c r="F29" s="1458" t="s">
        <v>1066</v>
      </c>
      <c r="G29" s="1456" t="s">
        <v>1105</v>
      </c>
      <c r="H29" s="1457" t="s">
        <v>1106</v>
      </c>
      <c r="I29" s="1466"/>
      <c r="J29" s="1466"/>
      <c r="K29" s="1474" t="s">
        <v>40</v>
      </c>
      <c r="L29" s="1468">
        <v>969</v>
      </c>
      <c r="M29" s="1473">
        <v>1550</v>
      </c>
      <c r="N29" s="1469"/>
    </row>
    <row r="30" spans="2:28" ht="18" customHeight="1" x14ac:dyDescent="0.2">
      <c r="B30" s="1465"/>
      <c r="C30" s="779"/>
      <c r="D30" s="1498" t="s">
        <v>1061</v>
      </c>
      <c r="E30" s="1585" t="s">
        <v>976</v>
      </c>
      <c r="F30" s="137"/>
      <c r="G30" s="1456">
        <f>VLOOKUP(E30,ListeRechner,2,FALSE)</f>
        <v>80</v>
      </c>
      <c r="H30" s="1457">
        <f>VLOOKUP(E30,ListeRechner,3,FALSE)</f>
        <v>120</v>
      </c>
      <c r="I30" s="1466"/>
      <c r="J30" s="1466"/>
      <c r="K30" s="1474" t="s">
        <v>971</v>
      </c>
      <c r="L30" s="1475">
        <v>57</v>
      </c>
      <c r="M30" s="1475">
        <f>L30/L31*M31</f>
        <v>118.40579710144928</v>
      </c>
      <c r="N30" s="1469"/>
    </row>
    <row r="31" spans="2:28" ht="18" customHeight="1" x14ac:dyDescent="0.2">
      <c r="B31" s="1465"/>
      <c r="C31" s="779"/>
      <c r="D31" s="1498" t="s">
        <v>1095</v>
      </c>
      <c r="E31" s="1564"/>
      <c r="F31" s="137" t="s">
        <v>202</v>
      </c>
      <c r="G31" s="1456"/>
      <c r="H31" s="1457"/>
      <c r="I31" s="1466"/>
      <c r="J31" s="1466"/>
      <c r="K31" s="1474" t="s">
        <v>972</v>
      </c>
      <c r="L31" s="1475">
        <f>(42+61.5)/2</f>
        <v>51.75</v>
      </c>
      <c r="M31" s="1475">
        <f>(85+130)/2</f>
        <v>107.5</v>
      </c>
      <c r="N31" s="1469"/>
    </row>
    <row r="32" spans="2:28" ht="18" customHeight="1" x14ac:dyDescent="0.2">
      <c r="B32" s="1465"/>
      <c r="C32" s="779"/>
      <c r="D32" s="1498" t="s">
        <v>1214</v>
      </c>
      <c r="E32" s="1564">
        <v>100</v>
      </c>
      <c r="F32" s="137" t="s">
        <v>202</v>
      </c>
      <c r="G32" s="1456"/>
      <c r="H32" s="1457"/>
      <c r="I32" s="1466"/>
      <c r="J32" s="1466"/>
      <c r="K32" s="1474" t="s">
        <v>974</v>
      </c>
      <c r="L32" s="1468">
        <v>100</v>
      </c>
      <c r="M32" s="1468">
        <v>175</v>
      </c>
      <c r="N32" s="1469"/>
    </row>
    <row r="33" spans="2:14" ht="18" customHeight="1" x14ac:dyDescent="0.2">
      <c r="B33" s="1465"/>
      <c r="C33" s="779"/>
      <c r="D33" s="137"/>
      <c r="E33" s="137"/>
      <c r="F33" s="137"/>
      <c r="G33" s="1456"/>
      <c r="H33" s="1457"/>
      <c r="I33" s="1466"/>
      <c r="J33" s="1466"/>
      <c r="K33" s="1474" t="s">
        <v>973</v>
      </c>
      <c r="L33" s="1468">
        <v>90</v>
      </c>
      <c r="M33" s="1468">
        <v>120</v>
      </c>
      <c r="N33" s="1469"/>
    </row>
    <row r="34" spans="2:14" ht="18" customHeight="1" x14ac:dyDescent="0.2">
      <c r="B34" s="1465"/>
      <c r="C34" s="779"/>
      <c r="D34" s="1499" t="s">
        <v>1064</v>
      </c>
      <c r="E34" s="1511">
        <f>IF(E31&gt;0,E31/G30,E32/H30)*1000</f>
        <v>833.33333333333337</v>
      </c>
      <c r="F34" s="137" t="str">
        <f>"kg " &amp;E30</f>
        <v>kg Bier</v>
      </c>
      <c r="G34" s="1456"/>
      <c r="H34" s="1457"/>
      <c r="I34" s="1466"/>
      <c r="J34" s="1466"/>
      <c r="K34" s="1474" t="s">
        <v>975</v>
      </c>
      <c r="L34" s="1468">
        <v>155</v>
      </c>
      <c r="M34" s="1468">
        <v>220</v>
      </c>
      <c r="N34" s="1469"/>
    </row>
    <row r="35" spans="2:14" ht="18" customHeight="1" thickBot="1" x14ac:dyDescent="0.25">
      <c r="B35" s="1465"/>
      <c r="C35" s="257"/>
      <c r="D35" s="258"/>
      <c r="E35" s="258"/>
      <c r="F35" s="258"/>
      <c r="G35" s="1459"/>
      <c r="H35" s="1460"/>
      <c r="I35" s="1466"/>
      <c r="J35" s="1466"/>
      <c r="K35" s="1474" t="s">
        <v>326</v>
      </c>
      <c r="L35" s="1468">
        <v>120</v>
      </c>
      <c r="M35" s="1468">
        <v>170</v>
      </c>
      <c r="N35" s="1469"/>
    </row>
    <row r="36" spans="2:14" ht="18" customHeight="1" x14ac:dyDescent="0.2">
      <c r="B36" s="1465"/>
      <c r="C36" s="1466"/>
      <c r="D36" s="1466"/>
      <c r="E36" s="1468"/>
      <c r="F36" s="1466"/>
      <c r="G36" s="1468"/>
      <c r="H36" s="1468"/>
      <c r="I36" s="1466"/>
      <c r="J36" s="1466"/>
      <c r="K36" s="1474" t="s">
        <v>976</v>
      </c>
      <c r="L36" s="1468">
        <v>80</v>
      </c>
      <c r="M36" s="1468">
        <v>120</v>
      </c>
      <c r="N36" s="1469"/>
    </row>
    <row r="37" spans="2:14" ht="18" customHeight="1" thickBot="1" x14ac:dyDescent="0.25">
      <c r="B37" s="1478"/>
      <c r="C37" s="1476"/>
      <c r="D37" s="1476"/>
      <c r="E37" s="1476"/>
      <c r="F37" s="1476"/>
      <c r="G37" s="1479"/>
      <c r="H37" s="1479"/>
      <c r="I37" s="1476"/>
      <c r="J37" s="1476"/>
      <c r="K37" s="1476"/>
      <c r="L37" s="1476"/>
      <c r="M37" s="1476"/>
      <c r="N37" s="1477"/>
    </row>
    <row r="38" spans="2:14" ht="15" thickBot="1" x14ac:dyDescent="0.25"/>
    <row r="39" spans="2:14" x14ac:dyDescent="0.2">
      <c r="B39" s="1512"/>
      <c r="C39" s="1513"/>
      <c r="D39" s="1513"/>
      <c r="E39" s="1513"/>
      <c r="F39" s="1513"/>
      <c r="G39" s="1514"/>
      <c r="H39" s="1514"/>
      <c r="I39" s="1513"/>
      <c r="J39" s="1515"/>
    </row>
    <row r="40" spans="2:14" ht="18" x14ac:dyDescent="0.25">
      <c r="B40" s="1516"/>
      <c r="C40" s="1504"/>
      <c r="D40" s="1529" t="s">
        <v>1108</v>
      </c>
      <c r="E40" s="1504"/>
      <c r="F40" s="1504"/>
      <c r="G40" s="1509"/>
      <c r="H40" s="1508"/>
      <c r="I40" s="1504"/>
      <c r="J40" s="1517"/>
    </row>
    <row r="41" spans="2:14" x14ac:dyDescent="0.2">
      <c r="B41" s="1516"/>
      <c r="C41" s="1504"/>
      <c r="D41" s="1504"/>
      <c r="E41" s="1504"/>
      <c r="F41" s="1504"/>
      <c r="G41" s="1509"/>
      <c r="H41" s="1508"/>
      <c r="I41" s="1504"/>
      <c r="J41" s="1517"/>
    </row>
    <row r="42" spans="2:14" x14ac:dyDescent="0.2">
      <c r="B42" s="1516"/>
      <c r="C42" s="1504"/>
      <c r="D42" s="1504" t="s">
        <v>1131</v>
      </c>
      <c r="E42" s="1504"/>
      <c r="F42" s="1504"/>
      <c r="G42" s="1509"/>
      <c r="H42" s="1508"/>
      <c r="I42" s="1504"/>
      <c r="J42" s="1517"/>
    </row>
    <row r="43" spans="2:14" x14ac:dyDescent="0.2">
      <c r="B43" s="1516"/>
      <c r="C43" s="1504"/>
      <c r="D43" s="1504" t="s">
        <v>1132</v>
      </c>
      <c r="E43" s="1504"/>
      <c r="F43" s="1504"/>
      <c r="G43" s="1509"/>
      <c r="H43" s="1508"/>
      <c r="I43" s="1504"/>
      <c r="J43" s="1517"/>
    </row>
    <row r="44" spans="2:14" x14ac:dyDescent="0.2">
      <c r="B44" s="1516"/>
      <c r="C44" s="1504"/>
      <c r="D44" s="1504" t="s">
        <v>1133</v>
      </c>
      <c r="E44" s="1504"/>
      <c r="F44" s="1504"/>
      <c r="G44" s="1509"/>
      <c r="H44" s="1508"/>
      <c r="I44" s="1504"/>
      <c r="J44" s="1517"/>
    </row>
    <row r="45" spans="2:14" x14ac:dyDescent="0.2">
      <c r="B45" s="1516"/>
      <c r="C45" s="1504"/>
      <c r="D45" s="1504" t="s">
        <v>1136</v>
      </c>
      <c r="E45" s="1504"/>
      <c r="F45" s="1504"/>
      <c r="G45" s="1509"/>
      <c r="H45" s="1508"/>
      <c r="I45" s="1504"/>
      <c r="J45" s="1517"/>
    </row>
    <row r="46" spans="2:14" x14ac:dyDescent="0.2">
      <c r="B46" s="1516"/>
      <c r="C46" s="1504"/>
      <c r="D46" s="1504"/>
      <c r="E46" s="1504"/>
      <c r="F46" s="1504"/>
      <c r="G46" s="1509"/>
      <c r="H46" s="1508"/>
      <c r="I46" s="1504"/>
      <c r="J46" s="1517"/>
    </row>
    <row r="47" spans="2:14" x14ac:dyDescent="0.2">
      <c r="B47" s="1516"/>
      <c r="C47" s="1504"/>
      <c r="D47" s="1504" t="s">
        <v>1109</v>
      </c>
      <c r="E47" s="1504"/>
      <c r="F47" s="1504"/>
      <c r="G47" s="1509"/>
      <c r="H47" s="1508"/>
      <c r="I47" s="1504"/>
      <c r="J47" s="1517"/>
    </row>
    <row r="48" spans="2:14" x14ac:dyDescent="0.2">
      <c r="B48" s="1516"/>
      <c r="C48" s="1504"/>
      <c r="D48" s="1504" t="s">
        <v>1110</v>
      </c>
      <c r="E48" s="1504"/>
      <c r="F48" s="1504"/>
      <c r="G48" s="1509"/>
      <c r="H48" s="1508"/>
      <c r="I48" s="1504"/>
      <c r="J48" s="1517"/>
    </row>
    <row r="49" spans="2:13" x14ac:dyDescent="0.2">
      <c r="B49" s="1516"/>
      <c r="C49" s="1504"/>
      <c r="D49" s="1504" t="s">
        <v>1111</v>
      </c>
      <c r="E49" s="1504"/>
      <c r="F49" s="1504"/>
      <c r="G49" s="1509"/>
      <c r="H49" s="1508"/>
      <c r="I49" s="1504"/>
      <c r="J49" s="1517"/>
    </row>
    <row r="50" spans="2:13" x14ac:dyDescent="0.2">
      <c r="B50" s="1516"/>
      <c r="C50" s="1504"/>
      <c r="D50" s="1504"/>
      <c r="E50" s="1504"/>
      <c r="F50" s="1504"/>
      <c r="G50" s="1509"/>
      <c r="H50" s="1508"/>
      <c r="I50" s="1504"/>
      <c r="J50" s="1517"/>
    </row>
    <row r="51" spans="2:13" x14ac:dyDescent="0.2">
      <c r="B51" s="1516"/>
      <c r="C51" s="1504"/>
      <c r="D51" s="1504" t="s">
        <v>1142</v>
      </c>
      <c r="E51" s="1504"/>
      <c r="F51" s="1504"/>
      <c r="G51" s="1509"/>
      <c r="H51" s="1508"/>
      <c r="I51" s="1504"/>
      <c r="J51" s="1517"/>
    </row>
    <row r="52" spans="2:13" x14ac:dyDescent="0.2">
      <c r="B52" s="1516"/>
      <c r="C52" s="1504"/>
      <c r="D52" s="1504" t="s">
        <v>1107</v>
      </c>
      <c r="E52" s="1504"/>
      <c r="F52" s="1504"/>
      <c r="G52" s="1509"/>
      <c r="H52" s="1508"/>
      <c r="I52" s="1504"/>
      <c r="J52" s="1517"/>
    </row>
    <row r="53" spans="2:13" x14ac:dyDescent="0.2">
      <c r="B53" s="1516"/>
      <c r="C53" s="1504"/>
      <c r="D53" s="1504" t="s">
        <v>1149</v>
      </c>
      <c r="E53" s="1504"/>
      <c r="F53" s="1504"/>
      <c r="G53" s="1509"/>
      <c r="H53" s="1508"/>
      <c r="I53" s="1504"/>
      <c r="J53" s="1517"/>
    </row>
    <row r="54" spans="2:13" x14ac:dyDescent="0.2">
      <c r="B54" s="1516"/>
      <c r="C54" s="1504"/>
      <c r="D54" s="1504" t="s">
        <v>1112</v>
      </c>
      <c r="E54" s="1504"/>
      <c r="F54" s="1504"/>
      <c r="G54" s="1509"/>
      <c r="H54" s="1508"/>
      <c r="I54" s="1504"/>
      <c r="J54" s="1517"/>
    </row>
    <row r="55" spans="2:13" x14ac:dyDescent="0.2">
      <c r="B55" s="1516"/>
      <c r="C55" s="1504"/>
      <c r="D55" s="1504" t="s">
        <v>1113</v>
      </c>
      <c r="E55" s="1504"/>
      <c r="F55" s="1504"/>
      <c r="G55" s="1509"/>
      <c r="H55" s="1508"/>
      <c r="I55" s="1504"/>
      <c r="J55" s="1517"/>
    </row>
    <row r="56" spans="2:13" ht="15" thickBot="1" x14ac:dyDescent="0.25">
      <c r="B56" s="1516"/>
      <c r="C56" s="1504"/>
      <c r="D56" s="1504"/>
      <c r="E56" s="1504"/>
      <c r="F56" s="1504"/>
      <c r="G56" s="1530"/>
      <c r="H56" s="1531"/>
      <c r="I56" s="1532"/>
      <c r="J56" s="1533"/>
    </row>
    <row r="57" spans="2:13" x14ac:dyDescent="0.2">
      <c r="B57" s="1516"/>
      <c r="C57" s="1504"/>
      <c r="D57" s="256"/>
      <c r="E57" s="193"/>
      <c r="F57" s="836"/>
      <c r="G57" s="1531"/>
      <c r="H57" s="1531"/>
      <c r="I57" s="1532"/>
      <c r="J57" s="1533"/>
    </row>
    <row r="58" spans="2:13" x14ac:dyDescent="0.2">
      <c r="B58" s="1516"/>
      <c r="C58" s="1504"/>
      <c r="D58" s="1524"/>
      <c r="E58" s="1497" t="s">
        <v>1130</v>
      </c>
      <c r="F58" s="780"/>
      <c r="G58" s="1535" t="s">
        <v>1129</v>
      </c>
      <c r="H58" s="1536"/>
      <c r="I58" s="1537"/>
      <c r="J58" s="1538"/>
    </row>
    <row r="59" spans="2:13" x14ac:dyDescent="0.2">
      <c r="B59" s="1516"/>
      <c r="C59" s="1504"/>
      <c r="D59" s="779"/>
      <c r="E59" s="137"/>
      <c r="F59" s="780"/>
      <c r="G59" s="1539" t="s">
        <v>1128</v>
      </c>
      <c r="H59" s="1536"/>
      <c r="I59" s="1537"/>
      <c r="J59" s="1538"/>
    </row>
    <row r="60" spans="2:13" x14ac:dyDescent="0.2">
      <c r="B60" s="1516"/>
      <c r="C60" s="1504"/>
      <c r="D60" s="1525" t="s">
        <v>1117</v>
      </c>
      <c r="E60" s="1585">
        <v>50</v>
      </c>
      <c r="F60" s="1526" t="s">
        <v>1063</v>
      </c>
      <c r="G60" s="1536" t="s">
        <v>1121</v>
      </c>
      <c r="H60" s="1536" t="s">
        <v>1124</v>
      </c>
      <c r="I60" s="1536" t="s">
        <v>520</v>
      </c>
      <c r="J60" s="1540" t="s">
        <v>1125</v>
      </c>
      <c r="L60" s="1182"/>
      <c r="M60" s="312"/>
    </row>
    <row r="61" spans="2:13" x14ac:dyDescent="0.2">
      <c r="B61" s="1516"/>
      <c r="C61" s="1504"/>
      <c r="D61" s="1525" t="s">
        <v>1118</v>
      </c>
      <c r="E61" s="1585">
        <v>8</v>
      </c>
      <c r="F61" s="1526" t="s">
        <v>1114</v>
      </c>
      <c r="G61" s="1536">
        <v>3</v>
      </c>
      <c r="H61" s="1536">
        <v>-1.626E-5</v>
      </c>
      <c r="I61" s="1536">
        <v>1.293362E-2</v>
      </c>
      <c r="J61" s="1540">
        <v>0.48129511000000003</v>
      </c>
      <c r="M61" s="312"/>
    </row>
    <row r="62" spans="2:13" x14ac:dyDescent="0.2">
      <c r="B62" s="1516"/>
      <c r="C62" s="1504"/>
      <c r="D62" s="1525" t="s">
        <v>1119</v>
      </c>
      <c r="E62" s="1585">
        <v>6.5</v>
      </c>
      <c r="F62" s="1526" t="s">
        <v>1114</v>
      </c>
      <c r="G62" s="1536">
        <v>4</v>
      </c>
      <c r="H62" s="1536">
        <v>-1.04E-5</v>
      </c>
      <c r="I62" s="1536">
        <v>1.0346670000000001E-2</v>
      </c>
      <c r="J62" s="1540">
        <v>0.48100756</v>
      </c>
      <c r="L62" s="1182"/>
      <c r="M62" s="312"/>
    </row>
    <row r="63" spans="2:13" ht="15" thickBot="1" x14ac:dyDescent="0.25">
      <c r="B63" s="1516"/>
      <c r="C63" s="1504"/>
      <c r="D63" s="1525" t="s">
        <v>1120</v>
      </c>
      <c r="E63" s="1586">
        <v>30</v>
      </c>
      <c r="F63" s="1526" t="s">
        <v>1116</v>
      </c>
      <c r="G63" s="1536">
        <v>5</v>
      </c>
      <c r="H63" s="1536">
        <v>-7.2799999999999998E-6</v>
      </c>
      <c r="I63" s="1536">
        <v>8.6516600000000003E-3</v>
      </c>
      <c r="J63" s="1540">
        <v>0.47766280999999999</v>
      </c>
      <c r="L63" s="1182"/>
      <c r="M63" s="312"/>
    </row>
    <row r="64" spans="2:13" ht="15" x14ac:dyDescent="0.2">
      <c r="B64" s="1516"/>
      <c r="C64" s="1504"/>
      <c r="D64" s="1527" t="s">
        <v>1115</v>
      </c>
      <c r="E64" s="1523">
        <f>E60*(E61-E62)/E63*60</f>
        <v>150</v>
      </c>
      <c r="F64" s="1528" t="s">
        <v>1126</v>
      </c>
      <c r="G64" s="1536">
        <v>6</v>
      </c>
      <c r="H64" s="1536">
        <v>-5.3499999999999996E-6</v>
      </c>
      <c r="I64" s="1536">
        <v>7.4163900000000001E-3</v>
      </c>
      <c r="J64" s="1540">
        <v>0.47902588000000002</v>
      </c>
      <c r="L64" s="1182"/>
      <c r="M64" s="312"/>
    </row>
    <row r="65" spans="2:13" ht="15" x14ac:dyDescent="0.2">
      <c r="B65" s="1516"/>
      <c r="C65" s="1504"/>
      <c r="D65" s="1525" t="s">
        <v>1123</v>
      </c>
      <c r="E65" s="1506">
        <f>E64*E64*H68+E64*I68+J68</f>
        <v>1.27188122</v>
      </c>
      <c r="F65" s="1526" t="s">
        <v>1122</v>
      </c>
      <c r="G65" s="1536">
        <v>7</v>
      </c>
      <c r="H65" s="1536">
        <v>-4.0799999999999999E-6</v>
      </c>
      <c r="I65" s="1536">
        <v>6.4784100000000004E-3</v>
      </c>
      <c r="J65" s="1540">
        <v>0.47972256000000002</v>
      </c>
      <c r="L65" s="1012"/>
      <c r="M65" s="312"/>
    </row>
    <row r="66" spans="2:13" ht="15" x14ac:dyDescent="0.2">
      <c r="B66" s="1516"/>
      <c r="C66" s="1504"/>
      <c r="D66" s="1525" t="s">
        <v>1127</v>
      </c>
      <c r="E66" s="1507">
        <f>ROUND(E64*60*24*365/1000*2.5/100,-1)</f>
        <v>1970</v>
      </c>
      <c r="F66" s="1526" t="s">
        <v>754</v>
      </c>
      <c r="G66" s="1536">
        <v>8</v>
      </c>
      <c r="H66" s="1536">
        <v>-3.23E-6</v>
      </c>
      <c r="I66" s="1536">
        <v>5.7600100000000003E-3</v>
      </c>
      <c r="J66" s="1540">
        <v>0.48055471999999999</v>
      </c>
      <c r="L66" s="1012"/>
      <c r="M66" s="312"/>
    </row>
    <row r="67" spans="2:13" ht="15" thickBot="1" x14ac:dyDescent="0.25">
      <c r="B67" s="1516"/>
      <c r="C67" s="1504"/>
      <c r="D67" s="257"/>
      <c r="E67" s="258"/>
      <c r="F67" s="790"/>
      <c r="G67" s="1541"/>
      <c r="H67" s="1536"/>
      <c r="I67" s="1536"/>
      <c r="J67" s="1540"/>
      <c r="L67" s="1012"/>
      <c r="M67" s="312"/>
    </row>
    <row r="68" spans="2:13" x14ac:dyDescent="0.2">
      <c r="B68" s="1516"/>
      <c r="C68" s="1504"/>
      <c r="D68" s="1508"/>
      <c r="E68" s="1508"/>
      <c r="F68" s="1508"/>
      <c r="G68" s="1541">
        <f>ROUND(E61,0)</f>
        <v>8</v>
      </c>
      <c r="H68" s="1536">
        <f>VLOOKUP(G68,DruckluftKoeffizienten,2)</f>
        <v>-3.23E-6</v>
      </c>
      <c r="I68" s="1536">
        <f>VLOOKUP(G68,DruckluftKoeffizienten,3)</f>
        <v>5.7600100000000003E-3</v>
      </c>
      <c r="J68" s="1540">
        <f>VLOOKUP(G68,DruckluftKoeffizienten,4)</f>
        <v>0.48055471999999999</v>
      </c>
      <c r="L68" s="1012"/>
      <c r="M68" s="312"/>
    </row>
    <row r="69" spans="2:13" ht="15" x14ac:dyDescent="0.2">
      <c r="B69" s="1516"/>
      <c r="C69" s="1504"/>
      <c r="D69" s="1534" t="s">
        <v>1134</v>
      </c>
      <c r="E69" s="1508"/>
      <c r="F69" s="1508"/>
      <c r="G69" s="1531"/>
      <c r="H69" s="1531"/>
      <c r="I69" s="1532"/>
      <c r="J69" s="1533"/>
    </row>
    <row r="70" spans="2:13" x14ac:dyDescent="0.2">
      <c r="B70" s="1516"/>
      <c r="C70" s="1504"/>
      <c r="D70" s="1510" t="s">
        <v>1137</v>
      </c>
      <c r="E70" s="1508"/>
      <c r="F70" s="1508"/>
      <c r="G70" s="1531"/>
      <c r="H70" s="1531"/>
      <c r="I70" s="1532"/>
      <c r="J70" s="1533"/>
    </row>
    <row r="71" spans="2:13" x14ac:dyDescent="0.2">
      <c r="B71" s="1516"/>
      <c r="C71" s="1504"/>
      <c r="D71" s="1510" t="s">
        <v>1143</v>
      </c>
      <c r="E71" s="1508"/>
      <c r="F71" s="1508"/>
      <c r="G71" s="1509"/>
      <c r="H71" s="1508"/>
      <c r="I71" s="1504"/>
      <c r="J71" s="1517"/>
    </row>
    <row r="72" spans="2:13" x14ac:dyDescent="0.2">
      <c r="B72" s="1516"/>
      <c r="C72" s="1504"/>
      <c r="D72" s="1510" t="s">
        <v>1144</v>
      </c>
      <c r="E72" s="1508"/>
      <c r="F72" s="1508"/>
      <c r="G72" s="1509"/>
      <c r="H72" s="1508"/>
      <c r="I72" s="1504"/>
      <c r="J72" s="1517"/>
    </row>
    <row r="73" spans="2:13" x14ac:dyDescent="0.2">
      <c r="B73" s="1516"/>
      <c r="C73" s="1504"/>
      <c r="D73" s="1510"/>
      <c r="E73" s="1508"/>
      <c r="F73" s="1508"/>
      <c r="G73" s="1509"/>
      <c r="H73" s="1508"/>
      <c r="I73" s="1504"/>
      <c r="J73" s="1517"/>
    </row>
    <row r="74" spans="2:13" x14ac:dyDescent="0.2">
      <c r="B74" s="1516"/>
      <c r="C74" s="1504"/>
      <c r="D74" s="1510"/>
      <c r="E74" s="1508"/>
      <c r="F74" s="1508"/>
      <c r="G74" s="1509"/>
      <c r="H74" s="1508"/>
      <c r="I74" s="1504"/>
      <c r="J74" s="1517"/>
    </row>
    <row r="75" spans="2:13" x14ac:dyDescent="0.2">
      <c r="B75" s="1516"/>
      <c r="C75" s="1504"/>
      <c r="D75" s="1510"/>
      <c r="E75" s="1508"/>
      <c r="F75" s="1508"/>
      <c r="G75" s="1509"/>
      <c r="H75" s="1508"/>
      <c r="I75" s="1504"/>
      <c r="J75" s="1517"/>
    </row>
    <row r="76" spans="2:13" x14ac:dyDescent="0.2">
      <c r="B76" s="1516"/>
      <c r="C76" s="1504"/>
      <c r="D76" s="1508"/>
      <c r="E76" s="1508"/>
      <c r="F76" s="1508"/>
      <c r="G76" s="1509"/>
      <c r="H76" s="1508"/>
      <c r="I76" s="1504"/>
      <c r="J76" s="1517"/>
    </row>
    <row r="77" spans="2:13" ht="15" thickBot="1" x14ac:dyDescent="0.25">
      <c r="B77" s="1518"/>
      <c r="C77" s="1519"/>
      <c r="D77" s="1520"/>
      <c r="E77" s="1520"/>
      <c r="F77" s="1520"/>
      <c r="G77" s="1521"/>
      <c r="H77" s="1520"/>
      <c r="I77" s="1519"/>
      <c r="J77" s="1522"/>
    </row>
    <row r="78" spans="2:13" x14ac:dyDescent="0.2">
      <c r="C78" s="67"/>
      <c r="D78" s="1503"/>
      <c r="E78" s="1502"/>
      <c r="F78" s="1503"/>
      <c r="G78" s="1182"/>
      <c r="H78" s="312"/>
    </row>
    <row r="79" spans="2:13" ht="15" thickBot="1" x14ac:dyDescent="0.25">
      <c r="G79" s="1182"/>
      <c r="H79" s="312"/>
    </row>
    <row r="80" spans="2:13" x14ac:dyDescent="0.2">
      <c r="B80" s="1482"/>
      <c r="C80" s="1483"/>
      <c r="D80" s="1483"/>
      <c r="E80" s="1483"/>
      <c r="F80" s="1483"/>
      <c r="G80" s="1484"/>
      <c r="H80" s="1485"/>
      <c r="I80" s="1483"/>
      <c r="J80" s="1486"/>
      <c r="K80" s="303"/>
    </row>
    <row r="81" spans="2:11" ht="15" x14ac:dyDescent="0.25">
      <c r="B81" s="1487"/>
      <c r="C81" s="1488"/>
      <c r="D81" s="1489" t="s">
        <v>1080</v>
      </c>
      <c r="E81" s="1488"/>
      <c r="F81" s="1488"/>
      <c r="G81" s="1480"/>
      <c r="H81" s="1481"/>
      <c r="I81" s="1488"/>
      <c r="J81" s="1490"/>
      <c r="K81" s="303"/>
    </row>
    <row r="82" spans="2:11" x14ac:dyDescent="0.2">
      <c r="B82" s="1487"/>
      <c r="C82" s="1488"/>
      <c r="D82" s="1488" t="s">
        <v>1081</v>
      </c>
      <c r="E82" s="1488"/>
      <c r="F82" s="1488"/>
      <c r="G82" s="1480"/>
      <c r="H82" s="1481"/>
      <c r="I82" s="1488"/>
      <c r="J82" s="1490"/>
      <c r="K82" s="303"/>
    </row>
    <row r="83" spans="2:11" x14ac:dyDescent="0.2">
      <c r="B83" s="1487"/>
      <c r="C83" s="1488"/>
      <c r="D83" s="1488" t="s">
        <v>1200</v>
      </c>
      <c r="E83" s="1488"/>
      <c r="F83" s="1488"/>
      <c r="G83" s="1480"/>
      <c r="H83" s="1481"/>
      <c r="I83" s="1488"/>
      <c r="J83" s="1490"/>
      <c r="K83" s="303"/>
    </row>
    <row r="84" spans="2:11" x14ac:dyDescent="0.2">
      <c r="B84" s="1487"/>
      <c r="C84" s="1488"/>
      <c r="D84" s="1488" t="s">
        <v>1146</v>
      </c>
      <c r="E84" s="1488"/>
      <c r="F84" s="1488"/>
      <c r="G84" s="1480"/>
      <c r="H84" s="1481"/>
      <c r="I84" s="1488"/>
      <c r="J84" s="1490"/>
      <c r="K84" s="303"/>
    </row>
    <row r="85" spans="2:11" x14ac:dyDescent="0.2">
      <c r="B85" s="1487"/>
      <c r="C85" s="1488"/>
      <c r="D85" s="1488" t="s">
        <v>1147</v>
      </c>
      <c r="E85" s="1488"/>
      <c r="F85" s="1488"/>
      <c r="G85" s="1480"/>
      <c r="H85" s="1481"/>
      <c r="I85" s="1488"/>
      <c r="J85" s="1490"/>
      <c r="K85" s="303"/>
    </row>
    <row r="86" spans="2:11" x14ac:dyDescent="0.2">
      <c r="B86" s="1487"/>
      <c r="C86" s="1488"/>
      <c r="D86" s="1488"/>
      <c r="E86" s="1488"/>
      <c r="F86" s="1488"/>
      <c r="G86" s="1480"/>
      <c r="H86" s="1481"/>
      <c r="I86" s="1488"/>
      <c r="J86" s="1490"/>
      <c r="K86" s="303"/>
    </row>
    <row r="87" spans="2:11" x14ac:dyDescent="0.2">
      <c r="B87" s="1487"/>
      <c r="C87" s="1488"/>
      <c r="D87" s="1488"/>
      <c r="E87" s="1488"/>
      <c r="F87" s="1488"/>
      <c r="G87" s="1480"/>
      <c r="H87" s="1481"/>
      <c r="I87" s="1488"/>
      <c r="J87" s="1490"/>
      <c r="K87" s="303"/>
    </row>
    <row r="88" spans="2:11" x14ac:dyDescent="0.2">
      <c r="B88" s="1487"/>
      <c r="C88" s="1488"/>
      <c r="D88" s="1488" t="s">
        <v>1082</v>
      </c>
      <c r="E88" s="1488"/>
      <c r="F88" s="1488"/>
      <c r="G88" s="1480"/>
      <c r="H88" s="1481"/>
      <c r="I88" s="1488"/>
      <c r="J88" s="1490"/>
      <c r="K88" s="303"/>
    </row>
    <row r="89" spans="2:11" x14ac:dyDescent="0.2">
      <c r="B89" s="1487"/>
      <c r="C89" s="1488"/>
      <c r="D89" s="1488" t="s">
        <v>1083</v>
      </c>
      <c r="E89" s="1488"/>
      <c r="F89" s="1488"/>
      <c r="G89" s="1480"/>
      <c r="H89" s="1481"/>
      <c r="I89" s="1488"/>
      <c r="J89" s="1490"/>
      <c r="K89" s="303"/>
    </row>
    <row r="90" spans="2:11" x14ac:dyDescent="0.2">
      <c r="B90" s="1487"/>
      <c r="C90" s="1488"/>
      <c r="D90" s="1488" t="s">
        <v>1145</v>
      </c>
      <c r="E90" s="1488"/>
      <c r="F90" s="1488"/>
      <c r="G90" s="1480"/>
      <c r="H90" s="1481"/>
      <c r="I90" s="1488"/>
      <c r="J90" s="1490"/>
      <c r="K90" s="303"/>
    </row>
    <row r="91" spans="2:11" x14ac:dyDescent="0.2">
      <c r="B91" s="1487"/>
      <c r="C91" s="1488"/>
      <c r="D91" s="1488" t="s">
        <v>1084</v>
      </c>
      <c r="E91" s="1488"/>
      <c r="F91" s="1488"/>
      <c r="G91" s="1480"/>
      <c r="H91" s="1481"/>
      <c r="I91" s="1488"/>
      <c r="J91" s="1490"/>
      <c r="K91" s="303"/>
    </row>
    <row r="92" spans="2:11" x14ac:dyDescent="0.2">
      <c r="B92" s="1487"/>
      <c r="C92" s="1488"/>
      <c r="D92" s="1488"/>
      <c r="E92" s="1488"/>
      <c r="F92" s="1488"/>
      <c r="G92" s="1480"/>
      <c r="H92" s="1481"/>
      <c r="I92" s="1488"/>
      <c r="J92" s="1490"/>
      <c r="K92" s="303"/>
    </row>
    <row r="93" spans="2:11" ht="15" x14ac:dyDescent="0.25">
      <c r="B93" s="1487"/>
      <c r="C93" s="1488"/>
      <c r="D93" s="1488"/>
      <c r="E93" s="1496"/>
      <c r="F93" s="1488"/>
      <c r="G93" s="1480"/>
      <c r="H93" s="1481"/>
      <c r="I93" s="1488"/>
      <c r="J93" s="1490"/>
      <c r="K93" s="303"/>
    </row>
    <row r="94" spans="2:11" x14ac:dyDescent="0.2">
      <c r="B94" s="1487"/>
      <c r="C94" s="1488"/>
      <c r="D94" s="1488"/>
      <c r="E94" s="1488"/>
      <c r="F94" s="1488"/>
      <c r="G94" s="1480"/>
      <c r="H94" s="1481"/>
      <c r="I94" s="1488"/>
      <c r="J94" s="1490"/>
      <c r="K94" s="303"/>
    </row>
    <row r="95" spans="2:11" x14ac:dyDescent="0.2">
      <c r="B95" s="1487"/>
      <c r="C95" s="1488"/>
      <c r="D95" s="1488"/>
      <c r="E95" s="1488"/>
      <c r="F95" s="1488"/>
      <c r="G95" s="1480"/>
      <c r="H95" s="1481"/>
      <c r="I95" s="1488"/>
      <c r="J95" s="1490"/>
      <c r="K95" s="303"/>
    </row>
    <row r="96" spans="2:11" x14ac:dyDescent="0.2">
      <c r="B96" s="1487"/>
      <c r="C96" s="1488"/>
      <c r="D96" s="1597" t="s">
        <v>1244</v>
      </c>
      <c r="E96" s="1488"/>
      <c r="F96" s="1488"/>
      <c r="G96" s="1480"/>
      <c r="H96" s="1481"/>
      <c r="I96" s="1488"/>
      <c r="J96" s="1490"/>
      <c r="K96" s="303"/>
    </row>
    <row r="97" spans="2:11" x14ac:dyDescent="0.2">
      <c r="B97" s="1487"/>
      <c r="C97" s="1488"/>
      <c r="D97" s="1488"/>
      <c r="E97" s="1488"/>
      <c r="F97" s="1488"/>
      <c r="G97" s="1481"/>
      <c r="H97" s="1481"/>
      <c r="I97" s="1491"/>
      <c r="J97" s="1490"/>
      <c r="K97" s="303"/>
    </row>
    <row r="98" spans="2:11" x14ac:dyDescent="0.2">
      <c r="B98" s="1487"/>
      <c r="C98" s="1488"/>
      <c r="D98" s="1488"/>
      <c r="E98" s="1488"/>
      <c r="F98" s="1488"/>
      <c r="G98" s="1481"/>
      <c r="H98" s="1481"/>
      <c r="I98" s="1488"/>
      <c r="J98" s="1490"/>
      <c r="K98" s="303"/>
    </row>
    <row r="99" spans="2:11" x14ac:dyDescent="0.2">
      <c r="B99" s="1487"/>
      <c r="C99" s="1488"/>
      <c r="D99" s="1488"/>
      <c r="E99" s="1488"/>
      <c r="F99" s="1488"/>
      <c r="G99" s="1481"/>
      <c r="H99" s="1481"/>
      <c r="I99" s="1488"/>
      <c r="J99" s="1490"/>
      <c r="K99" s="303"/>
    </row>
    <row r="100" spans="2:11" x14ac:dyDescent="0.2">
      <c r="B100" s="1487"/>
      <c r="C100" s="1488"/>
      <c r="D100" s="1488"/>
      <c r="E100" s="1488"/>
      <c r="F100" s="1488"/>
      <c r="G100" s="1481"/>
      <c r="H100" s="1481"/>
      <c r="I100" s="1488"/>
      <c r="J100" s="1490"/>
      <c r="K100" s="303"/>
    </row>
    <row r="101" spans="2:11" ht="15" thickBot="1" x14ac:dyDescent="0.25">
      <c r="B101" s="1492"/>
      <c r="C101" s="1493"/>
      <c r="D101" s="1493"/>
      <c r="E101" s="1493"/>
      <c r="F101" s="1493"/>
      <c r="G101" s="1494"/>
      <c r="H101" s="1494"/>
      <c r="I101" s="1493"/>
      <c r="J101" s="1495"/>
      <c r="K101" s="303"/>
    </row>
    <row r="102" spans="2:11" x14ac:dyDescent="0.2"/>
    <row r="103" spans="2:11" hidden="1" x14ac:dyDescent="0.2"/>
    <row r="104" spans="2:11" hidden="1" x14ac:dyDescent="0.2"/>
    <row r="105" spans="2:11" hidden="1" x14ac:dyDescent="0.2"/>
    <row r="106" spans="2:11" hidden="1" x14ac:dyDescent="0.2"/>
    <row r="107" spans="2:11" hidden="1" x14ac:dyDescent="0.2"/>
    <row r="108" spans="2:11" hidden="1" x14ac:dyDescent="0.2"/>
    <row r="109" spans="2:11" hidden="1" x14ac:dyDescent="0.2"/>
    <row r="110" spans="2:11" hidden="1" x14ac:dyDescent="0.2"/>
    <row r="111" spans="2:11" hidden="1" x14ac:dyDescent="0.2"/>
    <row r="112" spans="2:11"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sheetData>
  <sheetProtection password="D65F" sheet="1" objects="1" scenarios="1"/>
  <dataValidations count="2">
    <dataValidation type="list" allowBlank="1" showInputMessage="1" showErrorMessage="1" sqref="E17 E30">
      <formula1>StoffRechner</formula1>
    </dataValidation>
    <dataValidation type="decimal" operator="greaterThanOrEqual" allowBlank="1" showInputMessage="1" showErrorMessage="1" error="Der Druck muss mindestens 3 Bar betragen" sqref="E61">
      <formula1>3</formula1>
    </dataValidation>
  </dataValidations>
  <pageMargins left="0.7" right="0.7" top="0.78740157499999996" bottom="0.78740157499999996" header="0.3" footer="0.3"/>
  <pageSetup paperSize="9" orientation="portrait" horizontalDpi="4294967293" verticalDpi="0" r:id="rId1"/>
  <drawing r:id="rId2"/>
  <legacyDrawing r:id="rId3"/>
  <oleObjects>
    <mc:AlternateContent xmlns:mc="http://schemas.openxmlformats.org/markup-compatibility/2006">
      <mc:Choice Requires="x14">
        <oleObject progId="Acrobat Document" dvAspect="DVASPECT_ICON" shapeId="13313" r:id="rId4">
          <objectPr locked="0" defaultSize="0" r:id="rId5">
            <anchor moveWithCells="1">
              <from>
                <xdr:col>4</xdr:col>
                <xdr:colOff>685800</xdr:colOff>
                <xdr:row>93</xdr:row>
                <xdr:rowOff>161925</xdr:rowOff>
              </from>
              <to>
                <xdr:col>4</xdr:col>
                <xdr:colOff>1600200</xdr:colOff>
                <xdr:row>97</xdr:row>
                <xdr:rowOff>123825</xdr:rowOff>
              </to>
            </anchor>
          </objectPr>
        </oleObject>
      </mc:Choice>
      <mc:Fallback>
        <oleObject progId="Acrobat Document" dvAspect="DVASPECT_ICON" shapeId="13313" r:id="rId4"/>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B3:I27"/>
  <sheetViews>
    <sheetView showGridLines="0" showRowColHeaders="0" workbookViewId="0"/>
  </sheetViews>
  <sheetFormatPr baseColWidth="10" defaultRowHeight="15" x14ac:dyDescent="0.25"/>
  <cols>
    <col min="2" max="2" width="11.42578125" style="1374"/>
    <col min="3" max="3" width="50.42578125" customWidth="1"/>
    <col min="4" max="4" width="50.5703125" customWidth="1"/>
    <col min="5" max="5" width="35.7109375" customWidth="1"/>
    <col min="6" max="6" width="30.5703125" customWidth="1"/>
  </cols>
  <sheetData>
    <row r="3" spans="2:9" s="1374" customFormat="1" ht="18.75" x14ac:dyDescent="0.25">
      <c r="B3" s="1376" t="s">
        <v>487</v>
      </c>
      <c r="C3" s="1376" t="s">
        <v>91</v>
      </c>
      <c r="D3" s="1376" t="s">
        <v>1019</v>
      </c>
      <c r="E3" s="1376" t="s">
        <v>501</v>
      </c>
      <c r="F3" s="1377"/>
    </row>
    <row r="4" spans="2:9" s="1" customFormat="1" ht="45" x14ac:dyDescent="0.25">
      <c r="B4" s="1378">
        <v>1</v>
      </c>
      <c r="C4" s="1589" t="s">
        <v>149</v>
      </c>
      <c r="D4" s="1589" t="s">
        <v>486</v>
      </c>
      <c r="E4" s="1589"/>
      <c r="F4" s="1592" t="s">
        <v>1215</v>
      </c>
    </row>
    <row r="5" spans="2:9" s="1" customFormat="1" ht="45" x14ac:dyDescent="0.25">
      <c r="B5" s="1378">
        <v>2</v>
      </c>
      <c r="C5" s="1589" t="s">
        <v>488</v>
      </c>
      <c r="D5" s="1589" t="s">
        <v>489</v>
      </c>
      <c r="E5" s="1587" t="s">
        <v>499</v>
      </c>
      <c r="F5" s="1592" t="s">
        <v>1216</v>
      </c>
    </row>
    <row r="6" spans="2:9" s="1" customFormat="1" ht="75" x14ac:dyDescent="0.25">
      <c r="B6" s="1378">
        <v>3</v>
      </c>
      <c r="C6" s="1589" t="s">
        <v>498</v>
      </c>
      <c r="D6" s="1589" t="s">
        <v>155</v>
      </c>
      <c r="E6" s="1588" t="s">
        <v>500</v>
      </c>
      <c r="F6" s="1592" t="s">
        <v>1217</v>
      </c>
    </row>
    <row r="7" spans="2:9" s="1" customFormat="1" ht="30" x14ac:dyDescent="0.25">
      <c r="B7" s="1378">
        <v>4</v>
      </c>
      <c r="C7" s="1589" t="s">
        <v>97</v>
      </c>
      <c r="D7" s="1589" t="s">
        <v>503</v>
      </c>
      <c r="E7" s="1588" t="s">
        <v>504</v>
      </c>
      <c r="F7" s="1592" t="s">
        <v>1218</v>
      </c>
    </row>
    <row r="8" spans="2:9" s="1" customFormat="1" ht="30" x14ac:dyDescent="0.25">
      <c r="B8" s="1378">
        <v>5</v>
      </c>
      <c r="C8" s="1589" t="s">
        <v>508</v>
      </c>
      <c r="D8" s="1589" t="s">
        <v>506</v>
      </c>
      <c r="E8" s="1588" t="s">
        <v>500</v>
      </c>
      <c r="F8" s="1589"/>
    </row>
    <row r="9" spans="2:9" s="1" customFormat="1" ht="45" x14ac:dyDescent="0.25">
      <c r="B9" s="1378">
        <v>6</v>
      </c>
      <c r="C9" s="1589" t="s">
        <v>100</v>
      </c>
      <c r="D9" s="1589" t="s">
        <v>102</v>
      </c>
      <c r="E9" s="1589"/>
      <c r="F9" s="1589"/>
    </row>
    <row r="10" spans="2:9" s="1" customFormat="1" ht="30" x14ac:dyDescent="0.25">
      <c r="B10" s="1378">
        <v>7</v>
      </c>
      <c r="C10" s="1589" t="s">
        <v>149</v>
      </c>
      <c r="D10" s="1589" t="s">
        <v>608</v>
      </c>
      <c r="E10" s="1589" t="s">
        <v>609</v>
      </c>
      <c r="F10" s="1589"/>
    </row>
    <row r="11" spans="2:9" s="1" customFormat="1" ht="30" x14ac:dyDescent="0.25">
      <c r="B11" s="1378">
        <v>8</v>
      </c>
      <c r="C11" s="1589" t="s">
        <v>611</v>
      </c>
      <c r="D11" s="1589" t="s">
        <v>612</v>
      </c>
      <c r="E11" s="1590">
        <v>38687</v>
      </c>
      <c r="F11" s="1589"/>
    </row>
    <row r="12" spans="2:9" s="1" customFormat="1" ht="30" x14ac:dyDescent="0.25">
      <c r="B12" s="1378">
        <v>9</v>
      </c>
      <c r="C12" s="1589" t="s">
        <v>616</v>
      </c>
      <c r="D12" s="1589" t="s">
        <v>617</v>
      </c>
      <c r="E12" s="1590">
        <v>37712</v>
      </c>
      <c r="F12" s="1589"/>
    </row>
    <row r="13" spans="2:9" s="1" customFormat="1" ht="30" x14ac:dyDescent="0.25">
      <c r="B13" s="1378">
        <v>10</v>
      </c>
      <c r="C13" s="1589" t="s">
        <v>639</v>
      </c>
      <c r="D13" s="1589" t="s">
        <v>612</v>
      </c>
      <c r="E13" s="1590">
        <v>37926</v>
      </c>
      <c r="F13" s="1589"/>
    </row>
    <row r="14" spans="2:9" s="1" customFormat="1" ht="75" x14ac:dyDescent="0.25">
      <c r="B14" s="1378">
        <v>11</v>
      </c>
      <c r="C14" s="1589" t="s">
        <v>660</v>
      </c>
      <c r="D14" s="1589" t="s">
        <v>661</v>
      </c>
      <c r="E14" s="1589"/>
      <c r="F14" s="1592" t="s">
        <v>1219</v>
      </c>
    </row>
    <row r="15" spans="2:9" s="1" customFormat="1" ht="90" x14ac:dyDescent="0.25">
      <c r="B15" s="1378">
        <v>12</v>
      </c>
      <c r="C15" s="1589" t="s">
        <v>216</v>
      </c>
      <c r="D15" s="1589" t="s">
        <v>774</v>
      </c>
      <c r="E15" s="1589">
        <v>1996</v>
      </c>
      <c r="F15" s="1593" t="s">
        <v>215</v>
      </c>
      <c r="G15" s="950"/>
      <c r="H15" s="950"/>
      <c r="I15" s="950"/>
    </row>
    <row r="16" spans="2:9" s="1" customFormat="1" x14ac:dyDescent="0.25">
      <c r="B16" s="1378">
        <v>13</v>
      </c>
      <c r="C16" s="1589" t="s">
        <v>775</v>
      </c>
      <c r="D16" s="1589" t="s">
        <v>422</v>
      </c>
      <c r="F16" s="1591" t="s">
        <v>222</v>
      </c>
      <c r="G16" s="951"/>
      <c r="H16" s="951"/>
      <c r="I16" s="950"/>
    </row>
    <row r="17" spans="2:9" s="1" customFormat="1" x14ac:dyDescent="0.25">
      <c r="B17" s="1378">
        <v>14</v>
      </c>
      <c r="C17" s="1589" t="s">
        <v>888</v>
      </c>
      <c r="D17" s="1589" t="s">
        <v>889</v>
      </c>
      <c r="E17" s="1590">
        <v>41214</v>
      </c>
      <c r="F17" s="61"/>
      <c r="G17" s="950"/>
      <c r="H17" s="950"/>
      <c r="I17" s="950"/>
    </row>
    <row r="18" spans="2:9" s="1" customFormat="1" ht="45" x14ac:dyDescent="0.25">
      <c r="B18" s="1378">
        <v>15</v>
      </c>
      <c r="C18" s="1589" t="s">
        <v>886</v>
      </c>
      <c r="D18" s="1589"/>
      <c r="F18" s="1592" t="s">
        <v>887</v>
      </c>
    </row>
    <row r="19" spans="2:9" s="1" customFormat="1" x14ac:dyDescent="0.25">
      <c r="B19" s="1378">
        <v>16</v>
      </c>
      <c r="C19" s="1589" t="s">
        <v>909</v>
      </c>
      <c r="D19" s="1589" t="s">
        <v>506</v>
      </c>
      <c r="E19" s="1589">
        <v>2010</v>
      </c>
      <c r="F19" s="1589"/>
    </row>
    <row r="20" spans="2:9" s="1" customFormat="1" ht="30" x14ac:dyDescent="0.25">
      <c r="B20" s="1378">
        <v>17</v>
      </c>
      <c r="C20" s="1589" t="s">
        <v>298</v>
      </c>
      <c r="D20" s="1589" t="s">
        <v>913</v>
      </c>
      <c r="E20" s="1589">
        <v>2012</v>
      </c>
      <c r="F20" s="1592" t="s">
        <v>1220</v>
      </c>
    </row>
    <row r="21" spans="2:9" s="1" customFormat="1" ht="45" x14ac:dyDescent="0.25">
      <c r="B21" s="1378">
        <v>18</v>
      </c>
      <c r="C21" s="1589" t="s">
        <v>918</v>
      </c>
      <c r="D21" s="1589" t="s">
        <v>917</v>
      </c>
      <c r="E21" s="1590">
        <v>41579</v>
      </c>
      <c r="F21" s="1592" t="s">
        <v>919</v>
      </c>
    </row>
    <row r="22" spans="2:9" s="1" customFormat="1" ht="75" x14ac:dyDescent="0.25">
      <c r="B22" s="1378">
        <v>19</v>
      </c>
      <c r="C22" s="1589" t="s">
        <v>938</v>
      </c>
      <c r="D22" s="1589" t="s">
        <v>774</v>
      </c>
      <c r="E22" s="1589">
        <v>2000</v>
      </c>
      <c r="F22" s="1592" t="s">
        <v>368</v>
      </c>
    </row>
    <row r="23" spans="2:9" s="1" customFormat="1" x14ac:dyDescent="0.25">
      <c r="B23" s="1375"/>
    </row>
    <row r="24" spans="2:9" s="1" customFormat="1" x14ac:dyDescent="0.25">
      <c r="B24" s="1375"/>
    </row>
    <row r="25" spans="2:9" s="1" customFormat="1" ht="30" x14ac:dyDescent="0.25">
      <c r="B25" s="1375"/>
      <c r="C25" s="1" t="s">
        <v>1139</v>
      </c>
      <c r="D25" s="61" t="s">
        <v>1138</v>
      </c>
    </row>
    <row r="26" spans="2:9" s="1" customFormat="1" x14ac:dyDescent="0.25">
      <c r="B26" s="1375"/>
    </row>
    <row r="27" spans="2:9" s="1" customFormat="1" ht="45" x14ac:dyDescent="0.25">
      <c r="B27" s="1375"/>
      <c r="C27" s="1" t="s">
        <v>1141</v>
      </c>
      <c r="D27" s="61" t="s">
        <v>1140</v>
      </c>
    </row>
  </sheetData>
  <sheetProtection sheet="1" objects="1" scenarios="1"/>
  <hyperlinks>
    <hyperlink ref="F16" r:id="rId1"/>
    <hyperlink ref="D27" r:id="rId2"/>
    <hyperlink ref="D25" r:id="rId3"/>
    <hyperlink ref="F21" r:id="rId4"/>
    <hyperlink ref="F18" r:id="rId5"/>
    <hyperlink ref="F4" r:id="rId6"/>
    <hyperlink ref="F5" r:id="rId7"/>
    <hyperlink ref="F6" r:id="rId8"/>
    <hyperlink ref="F7" r:id="rId9"/>
    <hyperlink ref="F14" r:id="rId10"/>
    <hyperlink ref="F15" r:id="rId11"/>
    <hyperlink ref="F20" r:id="rId12"/>
    <hyperlink ref="F22" r:id="rId13"/>
  </hyperlink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T65"/>
  <sheetViews>
    <sheetView showGridLines="0" showRowColHeaders="0" zoomScale="90" zoomScaleNormal="90" workbookViewId="0"/>
  </sheetViews>
  <sheetFormatPr baseColWidth="10" defaultColWidth="0" defaultRowHeight="15" zeroHeight="1" x14ac:dyDescent="0.2"/>
  <cols>
    <col min="1" max="1" width="11.42578125" style="1383" customWidth="1"/>
    <col min="2" max="2" width="2.85546875" style="1379" customWidth="1"/>
    <col min="3" max="3" width="30.7109375" style="1380" customWidth="1"/>
    <col min="4" max="4" width="50.7109375" style="1380" customWidth="1"/>
    <col min="5" max="5" width="138" style="1381" customWidth="1"/>
    <col min="6" max="6" width="20.7109375" style="1382" customWidth="1"/>
    <col min="7" max="7" width="3.7109375" style="1383" customWidth="1"/>
    <col min="8" max="8" width="11.42578125" style="1384" customWidth="1"/>
    <col min="9" max="19" width="20.7109375" style="1384" customWidth="1"/>
    <col min="20" max="20" width="20.7109375" style="1385" hidden="1" customWidth="1"/>
    <col min="21" max="16384" width="11.42578125" style="1383" hidden="1"/>
  </cols>
  <sheetData>
    <row r="1" spans="2:20" ht="20.100000000000001" customHeight="1" thickBot="1" x14ac:dyDescent="0.25">
      <c r="D1" s="400"/>
      <c r="I1" s="1383"/>
      <c r="J1" s="1383"/>
      <c r="K1" s="1383"/>
      <c r="L1" s="1383"/>
      <c r="M1" s="1383"/>
      <c r="N1" s="1383"/>
      <c r="O1" s="1383"/>
      <c r="P1" s="1383"/>
      <c r="Q1" s="1383"/>
      <c r="R1" s="1383"/>
      <c r="S1" s="1383"/>
    </row>
    <row r="2" spans="2:20" ht="35.1" customHeight="1" x14ac:dyDescent="0.2">
      <c r="B2" s="1386"/>
      <c r="C2" s="1452"/>
      <c r="D2" s="1452"/>
      <c r="E2" s="1452"/>
      <c r="F2" s="1452"/>
      <c r="G2" s="1388"/>
      <c r="I2" s="1392"/>
      <c r="J2" s="1392"/>
      <c r="K2" s="1392"/>
      <c r="L2" s="1392"/>
      <c r="M2" s="1392"/>
      <c r="R2" s="1393"/>
      <c r="S2" s="1392"/>
    </row>
    <row r="3" spans="2:20" ht="35.1" customHeight="1" x14ac:dyDescent="0.2">
      <c r="B3" s="1389"/>
      <c r="C3" s="1607" t="s">
        <v>1079</v>
      </c>
      <c r="D3" s="1607"/>
      <c r="E3" s="1546"/>
      <c r="F3" s="1546"/>
      <c r="G3" s="1391"/>
      <c r="I3" s="1392"/>
      <c r="J3" s="1392"/>
      <c r="K3" s="1392"/>
      <c r="L3" s="1392"/>
      <c r="M3" s="1392"/>
      <c r="R3" s="1393"/>
      <c r="S3" s="1392"/>
    </row>
    <row r="4" spans="2:20" ht="35.1" customHeight="1" x14ac:dyDescent="0.2">
      <c r="B4" s="1389"/>
      <c r="C4" s="1545"/>
      <c r="D4" s="1545"/>
      <c r="E4" s="1545"/>
      <c r="F4" s="1545"/>
      <c r="G4" s="1391"/>
      <c r="I4" s="1392"/>
      <c r="J4" s="1392"/>
      <c r="K4" s="1392"/>
      <c r="L4" s="1392"/>
      <c r="M4" s="1392"/>
      <c r="R4" s="1393"/>
      <c r="S4" s="1392"/>
    </row>
    <row r="5" spans="2:20" ht="35.1" customHeight="1" x14ac:dyDescent="0.2">
      <c r="B5" s="1389"/>
      <c r="C5" s="1545"/>
      <c r="D5" s="1545"/>
      <c r="E5" s="1545"/>
      <c r="F5" s="1545"/>
      <c r="G5" s="1391"/>
      <c r="I5" s="1392"/>
      <c r="J5" s="1392"/>
      <c r="K5" s="1392"/>
      <c r="L5" s="1392"/>
      <c r="M5" s="1392"/>
      <c r="R5" s="1393"/>
      <c r="S5" s="1392"/>
    </row>
    <row r="6" spans="2:20" ht="35.1" customHeight="1" x14ac:dyDescent="0.2">
      <c r="B6" s="1389"/>
      <c r="C6" s="1545"/>
      <c r="D6" s="1545"/>
      <c r="E6" s="1545"/>
      <c r="F6" s="1545"/>
      <c r="G6" s="1391"/>
      <c r="I6" s="1392"/>
      <c r="J6" s="1392"/>
      <c r="K6" s="1392"/>
      <c r="L6" s="1392"/>
      <c r="M6" s="1392"/>
      <c r="R6" s="1393"/>
      <c r="S6" s="1392"/>
    </row>
    <row r="7" spans="2:20" ht="35.1" customHeight="1" x14ac:dyDescent="0.2">
      <c r="B7" s="1389"/>
      <c r="C7" s="1545"/>
      <c r="D7" s="1545"/>
      <c r="E7" s="1545"/>
      <c r="F7" s="1545"/>
      <c r="G7" s="1391"/>
      <c r="I7" s="1392"/>
      <c r="J7" s="1392"/>
      <c r="K7" s="1392"/>
      <c r="L7" s="1392"/>
      <c r="M7" s="1392"/>
      <c r="R7" s="1393"/>
      <c r="S7" s="1392"/>
    </row>
    <row r="8" spans="2:20" ht="35.1" customHeight="1" x14ac:dyDescent="0.2">
      <c r="B8" s="1389"/>
      <c r="C8" s="1545"/>
      <c r="D8" s="433"/>
      <c r="E8" s="1545"/>
      <c r="F8" s="1545"/>
      <c r="G8" s="1391"/>
      <c r="I8" s="1392"/>
      <c r="J8" s="1392"/>
      <c r="K8" s="1392"/>
      <c r="L8" s="1392"/>
      <c r="M8" s="1392"/>
      <c r="R8" s="1393"/>
      <c r="S8" s="1392"/>
    </row>
    <row r="9" spans="2:20" ht="35.1" customHeight="1" x14ac:dyDescent="0.2">
      <c r="B9" s="1389"/>
      <c r="C9" s="1545"/>
      <c r="D9" s="276"/>
      <c r="E9" s="1545"/>
      <c r="F9" s="1545"/>
      <c r="G9" s="1391"/>
      <c r="I9" s="1392"/>
      <c r="J9" s="1392"/>
      <c r="K9" s="1392"/>
      <c r="L9" s="1392"/>
      <c r="M9" s="1392"/>
      <c r="R9" s="1393"/>
      <c r="S9" s="1392"/>
    </row>
    <row r="10" spans="2:20" ht="35.1" customHeight="1" x14ac:dyDescent="0.2">
      <c r="B10" s="1389"/>
      <c r="C10" s="1545"/>
      <c r="D10" s="276"/>
      <c r="E10" s="1545"/>
      <c r="F10" s="1545"/>
      <c r="G10" s="1391"/>
      <c r="I10" s="1392"/>
      <c r="J10" s="1392"/>
      <c r="K10" s="1392"/>
      <c r="L10" s="1392"/>
      <c r="M10" s="1392"/>
      <c r="R10" s="1393"/>
      <c r="S10" s="1392"/>
    </row>
    <row r="11" spans="2:20" ht="35.1" customHeight="1" x14ac:dyDescent="0.2">
      <c r="B11" s="1389"/>
      <c r="C11" s="1545"/>
      <c r="D11" s="276"/>
      <c r="E11" s="1545"/>
      <c r="F11" s="1545"/>
      <c r="G11" s="1391"/>
      <c r="I11" s="1392"/>
      <c r="J11" s="1392"/>
      <c r="K11" s="1392"/>
      <c r="L11" s="1392"/>
      <c r="M11" s="1392"/>
      <c r="R11" s="1393"/>
      <c r="S11" s="1392"/>
    </row>
    <row r="12" spans="2:20" ht="35.1" customHeight="1" x14ac:dyDescent="0.2">
      <c r="B12" s="1389"/>
      <c r="C12" s="1545"/>
      <c r="D12" s="1545"/>
      <c r="E12" s="1545"/>
      <c r="F12" s="1545"/>
      <c r="G12" s="1391"/>
    </row>
    <row r="13" spans="2:20" ht="35.1" customHeight="1" thickBot="1" x14ac:dyDescent="0.25">
      <c r="B13" s="1389"/>
      <c r="C13" s="1394" t="s">
        <v>1059</v>
      </c>
      <c r="D13" s="1394"/>
      <c r="E13" s="1395" t="s">
        <v>1021</v>
      </c>
      <c r="F13" s="1395" t="s">
        <v>578</v>
      </c>
      <c r="G13" s="1391"/>
    </row>
    <row r="14" spans="2:20" ht="30" customHeight="1" thickBot="1" x14ac:dyDescent="0.25">
      <c r="B14" s="1389"/>
      <c r="C14" s="1396" t="s">
        <v>1028</v>
      </c>
      <c r="D14" s="1606">
        <f>J16</f>
        <v>0</v>
      </c>
      <c r="E14" s="1606"/>
      <c r="F14" s="1387"/>
      <c r="G14" s="1391"/>
      <c r="I14" s="1397" t="s">
        <v>16</v>
      </c>
      <c r="J14" s="1398" t="s">
        <v>26</v>
      </c>
      <c r="K14" s="1398" t="s">
        <v>17</v>
      </c>
      <c r="L14" s="1398" t="s">
        <v>18</v>
      </c>
      <c r="M14" s="1398" t="s">
        <v>19</v>
      </c>
      <c r="N14" s="1399" t="s">
        <v>22</v>
      </c>
      <c r="O14" s="1399" t="s">
        <v>24</v>
      </c>
      <c r="P14" s="1400" t="s">
        <v>21</v>
      </c>
      <c r="Q14" s="1400" t="s">
        <v>25</v>
      </c>
      <c r="R14" s="1401" t="s">
        <v>588</v>
      </c>
    </row>
    <row r="15" spans="2:20" x14ac:dyDescent="0.25">
      <c r="B15" s="1389"/>
      <c r="C15" s="1402"/>
      <c r="D15" s="1402"/>
      <c r="E15" s="1403"/>
      <c r="F15" s="1390"/>
      <c r="G15" s="1391"/>
      <c r="I15" s="1404"/>
      <c r="J15" s="1405"/>
      <c r="K15" s="1406">
        <f>K16</f>
        <v>0.30000000000000004</v>
      </c>
      <c r="L15" s="1407">
        <f>L16</f>
        <v>0.4</v>
      </c>
      <c r="M15" s="1407">
        <f>M16</f>
        <v>0.4</v>
      </c>
      <c r="N15" s="1405"/>
      <c r="O15" s="1405"/>
      <c r="P15" s="1405"/>
      <c r="Q15" s="1405"/>
      <c r="R15" s="1408"/>
    </row>
    <row r="16" spans="2:20" s="1421" customFormat="1" ht="28.5" x14ac:dyDescent="0.2">
      <c r="B16" s="1409"/>
      <c r="C16" s="1604" t="s">
        <v>1022</v>
      </c>
      <c r="D16" s="1605"/>
      <c r="E16" s="1410" t="s">
        <v>1023</v>
      </c>
      <c r="F16" s="1560" t="s">
        <v>11</v>
      </c>
      <c r="G16" s="1411"/>
      <c r="H16" s="1412"/>
      <c r="I16" s="1413" t="str">
        <f>C14</f>
        <v>Management</v>
      </c>
      <c r="J16" s="1414">
        <f>Q16/R16</f>
        <v>0</v>
      </c>
      <c r="K16" s="1414">
        <f t="shared" ref="K16:K21" si="0">1.1-Grün</f>
        <v>0.30000000000000004</v>
      </c>
      <c r="L16" s="1414">
        <f t="shared" ref="L16" si="1">1.1-Rot-K16</f>
        <v>0.4</v>
      </c>
      <c r="M16" s="1414">
        <f t="shared" ref="M16" si="2">1.1-K16-L16</f>
        <v>0.4</v>
      </c>
      <c r="N16" s="1415">
        <v>1</v>
      </c>
      <c r="O16" s="1416">
        <f t="shared" ref="O16" si="3">1*N16</f>
        <v>1</v>
      </c>
      <c r="P16" s="1414">
        <f t="shared" ref="P16" si="4">J16*N16</f>
        <v>0</v>
      </c>
      <c r="Q16" s="1417">
        <f>COUNTIF(F16:F23,Milchverarbeitung!$AU$69)</f>
        <v>0</v>
      </c>
      <c r="R16" s="1419">
        <f>COUNTA(F16:F23)-COUNTIF(F16:F23,Milchverarbeitung!AU71)</f>
        <v>8</v>
      </c>
      <c r="S16" s="1384"/>
      <c r="T16" s="1420"/>
    </row>
    <row r="17" spans="1:20" s="1421" customFormat="1" ht="42.75" x14ac:dyDescent="0.2">
      <c r="B17" s="1409"/>
      <c r="C17" s="1604" t="s">
        <v>4</v>
      </c>
      <c r="D17" s="1605"/>
      <c r="E17" s="1410" t="s">
        <v>1024</v>
      </c>
      <c r="F17" s="1560" t="s">
        <v>11</v>
      </c>
      <c r="G17" s="1411"/>
      <c r="H17" s="1412"/>
      <c r="I17" s="1413" t="str">
        <f>C25</f>
        <v>Nachhaltigkeit</v>
      </c>
      <c r="J17" s="1414">
        <f>Q17/R17</f>
        <v>0</v>
      </c>
      <c r="K17" s="1414">
        <f t="shared" si="0"/>
        <v>0.30000000000000004</v>
      </c>
      <c r="L17" s="1414">
        <f>1.1-Rot-K17</f>
        <v>0.4</v>
      </c>
      <c r="M17" s="1414">
        <f>1.1-K17-L17</f>
        <v>0.4</v>
      </c>
      <c r="N17" s="1415">
        <v>1</v>
      </c>
      <c r="O17" s="1416">
        <f>1*N17</f>
        <v>1</v>
      </c>
      <c r="P17" s="1414">
        <f>J17*N17</f>
        <v>0</v>
      </c>
      <c r="Q17" s="1417">
        <f>COUNTIF(F27:F31,Milchverarbeitung!$AU$69)</f>
        <v>0</v>
      </c>
      <c r="R17" s="1419">
        <f>COUNTA(F27:F31)-COUNTIF(F20:F27,Milchverarbeitung!AU71)</f>
        <v>5</v>
      </c>
      <c r="S17" s="1384"/>
      <c r="T17" s="1420"/>
    </row>
    <row r="18" spans="1:20" s="1421" customFormat="1" ht="57" x14ac:dyDescent="0.2">
      <c r="B18" s="1409"/>
      <c r="C18" s="1604" t="s">
        <v>1025</v>
      </c>
      <c r="D18" s="1605"/>
      <c r="E18" s="1410" t="s">
        <v>1026</v>
      </c>
      <c r="F18" s="1560" t="s">
        <v>11</v>
      </c>
      <c r="G18" s="1411"/>
      <c r="H18" s="1412"/>
      <c r="I18" s="1413" t="str">
        <f>C34</f>
        <v>Mitarbeitende</v>
      </c>
      <c r="J18" s="1414">
        <f>Q18/R18</f>
        <v>0</v>
      </c>
      <c r="K18" s="1414">
        <f t="shared" si="0"/>
        <v>0.30000000000000004</v>
      </c>
      <c r="L18" s="1414">
        <f>1.1-Rot-K18</f>
        <v>0.4</v>
      </c>
      <c r="M18" s="1414">
        <f>1.1-K18-L18</f>
        <v>0.4</v>
      </c>
      <c r="N18" s="1415">
        <v>0.8</v>
      </c>
      <c r="O18" s="1416">
        <f>1*N18</f>
        <v>0.8</v>
      </c>
      <c r="P18" s="1414">
        <f>J18*N18</f>
        <v>0</v>
      </c>
      <c r="Q18" s="1417">
        <f>COUNTIF(F36:F40,Milchverarbeitung!$AU$69)</f>
        <v>0</v>
      </c>
      <c r="R18" s="1419">
        <f>COUNTA(F36:F40)-COUNTIF(F36:F40,Milchverarbeitung!$AU$71)</f>
        <v>5</v>
      </c>
      <c r="S18" s="1384"/>
      <c r="T18" s="1420"/>
    </row>
    <row r="19" spans="1:20" s="1421" customFormat="1" ht="42.75" x14ac:dyDescent="0.2">
      <c r="B19" s="1409"/>
      <c r="C19" s="1604" t="s">
        <v>89</v>
      </c>
      <c r="D19" s="1605"/>
      <c r="E19" s="1410" t="s">
        <v>1027</v>
      </c>
      <c r="F19" s="1560" t="s">
        <v>11</v>
      </c>
      <c r="G19" s="1411"/>
      <c r="H19" s="1412"/>
      <c r="I19" s="1413" t="str">
        <f>C42</f>
        <v>Prozesse</v>
      </c>
      <c r="J19" s="1414">
        <f>Q19/R19</f>
        <v>0</v>
      </c>
      <c r="K19" s="1414">
        <f t="shared" si="0"/>
        <v>0.30000000000000004</v>
      </c>
      <c r="L19" s="1414">
        <f>1.1-Rot-K19</f>
        <v>0.4</v>
      </c>
      <c r="M19" s="1414">
        <f>1.1-K19-L19</f>
        <v>0.4</v>
      </c>
      <c r="N19" s="1415">
        <v>0.9</v>
      </c>
      <c r="O19" s="1416">
        <f>1*N19</f>
        <v>0.9</v>
      </c>
      <c r="P19" s="1414">
        <f>J19*N19</f>
        <v>0</v>
      </c>
      <c r="Q19" s="1417">
        <f>COUNTIF(F44:F49,Milchverarbeitung!$AU$69)</f>
        <v>0</v>
      </c>
      <c r="R19" s="1419">
        <f>COUNTA(F44:F49)-COUNTIF(F44:F49,Milchverarbeitung!$AU$71)</f>
        <v>6</v>
      </c>
      <c r="S19" s="1384"/>
      <c r="T19" s="1420"/>
    </row>
    <row r="20" spans="1:20" s="1421" customFormat="1" ht="42.75" x14ac:dyDescent="0.2">
      <c r="B20" s="1409"/>
      <c r="C20" s="1604" t="s">
        <v>1029</v>
      </c>
      <c r="D20" s="1605"/>
      <c r="E20" s="1410" t="s">
        <v>1040</v>
      </c>
      <c r="F20" s="1560" t="s">
        <v>11</v>
      </c>
      <c r="G20" s="1411"/>
      <c r="H20" s="1412"/>
      <c r="I20" s="1413" t="str">
        <f>C51</f>
        <v>Verluste</v>
      </c>
      <c r="J20" s="1414">
        <f>Q20/R20</f>
        <v>0</v>
      </c>
      <c r="K20" s="1414">
        <f t="shared" si="0"/>
        <v>0.30000000000000004</v>
      </c>
      <c r="L20" s="1414">
        <f>1.1-Rot-K20</f>
        <v>0.4</v>
      </c>
      <c r="M20" s="1414">
        <f>1.1-K20-L20</f>
        <v>0.4</v>
      </c>
      <c r="N20" s="1415">
        <v>1</v>
      </c>
      <c r="O20" s="1416">
        <f>1*N20</f>
        <v>1</v>
      </c>
      <c r="P20" s="1414">
        <f>J20*N20</f>
        <v>0</v>
      </c>
      <c r="Q20" s="1417">
        <f>COUNTIF(F53:F58,Milchverarbeitung!$AU$69)</f>
        <v>0</v>
      </c>
      <c r="R20" s="1419">
        <f>COUNTA(F53:F58)-COUNTIF(F53:F58,Milchverarbeitung!$AU$71)</f>
        <v>6</v>
      </c>
      <c r="S20" s="1384"/>
      <c r="T20" s="1420"/>
    </row>
    <row r="21" spans="1:20" s="1421" customFormat="1" ht="15.75" thickBot="1" x14ac:dyDescent="0.25">
      <c r="B21" s="1409"/>
      <c r="C21" s="1604" t="s">
        <v>1033</v>
      </c>
      <c r="D21" s="1605"/>
      <c r="E21" s="1410" t="s">
        <v>1034</v>
      </c>
      <c r="F21" s="1560" t="s">
        <v>11</v>
      </c>
      <c r="G21" s="1411"/>
      <c r="H21" s="1412"/>
      <c r="I21" s="1422"/>
      <c r="J21" s="1423"/>
      <c r="K21" s="1446">
        <f t="shared" si="0"/>
        <v>0.30000000000000004</v>
      </c>
      <c r="L21" s="1446">
        <f>1.1-Rot-K21</f>
        <v>0.4</v>
      </c>
      <c r="M21" s="1446">
        <f>1.1-K21-L21</f>
        <v>0.4</v>
      </c>
      <c r="N21" s="1423"/>
      <c r="O21" s="1423"/>
      <c r="P21" s="1446"/>
      <c r="Q21" s="1423"/>
      <c r="R21" s="1425"/>
      <c r="S21" s="1384"/>
      <c r="T21" s="1420"/>
    </row>
    <row r="22" spans="1:20" s="1421" customFormat="1" ht="43.5" customHeight="1" thickBot="1" x14ac:dyDescent="0.25">
      <c r="B22" s="1409"/>
      <c r="C22" s="1604" t="s">
        <v>1030</v>
      </c>
      <c r="D22" s="1605"/>
      <c r="E22" s="1410" t="s">
        <v>1031</v>
      </c>
      <c r="F22" s="1560" t="s">
        <v>11</v>
      </c>
      <c r="G22" s="1411"/>
      <c r="H22" s="1412"/>
      <c r="I22" s="1392"/>
      <c r="J22" s="1393"/>
      <c r="K22" s="1426"/>
      <c r="L22" s="1426"/>
      <c r="M22" s="1426"/>
      <c r="N22" s="1443" t="s">
        <v>23</v>
      </c>
      <c r="O22" s="1444">
        <f>SUM(O16:O20)</f>
        <v>4.6999999999999993</v>
      </c>
      <c r="P22" s="1445">
        <f>SUM(P16:P20)</f>
        <v>0</v>
      </c>
      <c r="Q22" s="1427">
        <f>SUM(Q16:Q20)</f>
        <v>0</v>
      </c>
      <c r="R22" s="1393"/>
      <c r="S22" s="1384"/>
      <c r="T22" s="1420"/>
    </row>
    <row r="23" spans="1:20" s="1421" customFormat="1" ht="43.5" customHeight="1" x14ac:dyDescent="0.25">
      <c r="B23" s="1409"/>
      <c r="C23" s="1604" t="s">
        <v>1032</v>
      </c>
      <c r="D23" s="1605"/>
      <c r="E23" s="1410" t="s">
        <v>1201</v>
      </c>
      <c r="F23" s="1560" t="s">
        <v>11</v>
      </c>
      <c r="G23" s="1411"/>
      <c r="H23" s="1412"/>
      <c r="I23" s="1428"/>
      <c r="J23" s="1428"/>
      <c r="K23" s="1428"/>
      <c r="L23" s="1428"/>
      <c r="M23" s="1428"/>
      <c r="N23" s="1429" t="s">
        <v>21</v>
      </c>
      <c r="O23" s="1418"/>
      <c r="P23" s="1430">
        <f>P22/O22</f>
        <v>0</v>
      </c>
      <c r="Q23" s="1428"/>
      <c r="R23" s="1428"/>
      <c r="S23" s="1428"/>
      <c r="T23" s="1420"/>
    </row>
    <row r="24" spans="1:20" s="1421" customFormat="1" ht="15.75" thickBot="1" x14ac:dyDescent="0.3">
      <c r="B24" s="1409"/>
      <c r="C24" s="1433"/>
      <c r="D24" s="1433"/>
      <c r="E24" s="1433"/>
      <c r="F24" s="1390"/>
      <c r="G24" s="1411"/>
      <c r="H24" s="1412"/>
      <c r="I24" s="1428"/>
      <c r="J24" s="1428"/>
      <c r="K24" s="1428"/>
      <c r="L24" s="1428"/>
      <c r="M24" s="1428"/>
      <c r="N24" s="1431" t="s">
        <v>27</v>
      </c>
      <c r="O24" s="1424"/>
      <c r="P24" s="1432">
        <f>SUM(R16:R20)</f>
        <v>30</v>
      </c>
      <c r="Q24" s="1428"/>
      <c r="R24" s="1428"/>
      <c r="S24" s="1428"/>
      <c r="T24" s="1420"/>
    </row>
    <row r="25" spans="1:20" ht="30" customHeight="1" x14ac:dyDescent="0.2">
      <c r="B25" s="1389"/>
      <c r="C25" s="1396" t="s">
        <v>1068</v>
      </c>
      <c r="D25" s="1606">
        <f>J17</f>
        <v>0</v>
      </c>
      <c r="E25" s="1606"/>
      <c r="F25" s="1387"/>
      <c r="G25" s="1391"/>
      <c r="I25" s="1385"/>
      <c r="J25" s="1385"/>
      <c r="K25" s="1385"/>
      <c r="L25" s="1385"/>
      <c r="M25" s="1385"/>
      <c r="N25" s="1435"/>
      <c r="O25" s="1435"/>
      <c r="P25" s="1436"/>
      <c r="Q25" s="1436"/>
      <c r="R25" s="1436"/>
    </row>
    <row r="26" spans="1:20" s="1421" customFormat="1" x14ac:dyDescent="0.25">
      <c r="B26" s="1409"/>
      <c r="C26" s="1437"/>
      <c r="D26" s="1437"/>
      <c r="E26" s="1433"/>
      <c r="F26" s="1390"/>
      <c r="G26" s="1411"/>
      <c r="H26" s="1412"/>
      <c r="I26" s="1434"/>
      <c r="J26" s="1434"/>
      <c r="K26" s="1434"/>
      <c r="L26" s="1434"/>
      <c r="M26" s="1434"/>
      <c r="N26" s="1434"/>
      <c r="O26" s="1434"/>
      <c r="P26" s="1434"/>
      <c r="Q26" s="1434"/>
      <c r="R26" s="1434"/>
      <c r="S26" s="1428"/>
      <c r="T26" s="1420"/>
    </row>
    <row r="27" spans="1:20" s="1421" customFormat="1" ht="28.5" x14ac:dyDescent="0.2">
      <c r="A27" s="1383"/>
      <c r="B27" s="1389"/>
      <c r="C27" s="1608" t="s">
        <v>1073</v>
      </c>
      <c r="D27" s="1609"/>
      <c r="E27" s="1410" t="s">
        <v>1075</v>
      </c>
      <c r="F27" s="1560" t="s">
        <v>11</v>
      </c>
      <c r="G27" s="1391"/>
      <c r="H27" s="1412"/>
      <c r="I27" s="1434"/>
      <c r="J27" s="1434"/>
      <c r="K27" s="1434"/>
      <c r="L27" s="1434"/>
      <c r="M27" s="1434"/>
      <c r="N27" s="1434"/>
      <c r="O27" s="1434"/>
      <c r="P27" s="1434"/>
      <c r="Q27" s="1434"/>
      <c r="R27" s="1434"/>
      <c r="S27" s="1428"/>
      <c r="T27" s="1420"/>
    </row>
    <row r="28" spans="1:20" s="1421" customFormat="1" ht="42.75" x14ac:dyDescent="0.2">
      <c r="A28" s="1383"/>
      <c r="B28" s="1389"/>
      <c r="C28" s="1608" t="s">
        <v>1072</v>
      </c>
      <c r="D28" s="1609"/>
      <c r="E28" s="1410" t="s">
        <v>1077</v>
      </c>
      <c r="F28" s="1560" t="s">
        <v>11</v>
      </c>
      <c r="G28" s="1391"/>
      <c r="H28" s="1412"/>
      <c r="I28" s="1434"/>
      <c r="J28" s="1434"/>
      <c r="K28" s="1434"/>
      <c r="L28" s="1434"/>
      <c r="M28" s="1434"/>
      <c r="N28" s="1434"/>
      <c r="O28" s="1434"/>
      <c r="P28" s="1434"/>
      <c r="Q28" s="1434"/>
      <c r="R28" s="1434"/>
      <c r="S28" s="1428"/>
      <c r="T28" s="1420"/>
    </row>
    <row r="29" spans="1:20" s="1421" customFormat="1" ht="42.75" x14ac:dyDescent="0.2">
      <c r="A29" s="1383"/>
      <c r="B29" s="1389"/>
      <c r="C29" s="1608" t="s">
        <v>1070</v>
      </c>
      <c r="D29" s="1609"/>
      <c r="E29" s="1410" t="s">
        <v>1071</v>
      </c>
      <c r="F29" s="1560" t="s">
        <v>11</v>
      </c>
      <c r="G29" s="1391"/>
      <c r="H29" s="1412"/>
      <c r="I29" s="1434"/>
      <c r="J29" s="1434"/>
      <c r="K29" s="1434"/>
      <c r="L29" s="1434"/>
      <c r="M29" s="1434"/>
      <c r="N29" s="1434"/>
      <c r="O29" s="1434"/>
      <c r="P29" s="1434"/>
      <c r="Q29" s="1434"/>
      <c r="R29" s="1434"/>
      <c r="S29" s="1428"/>
      <c r="T29" s="1420"/>
    </row>
    <row r="30" spans="1:20" s="1421" customFormat="1" ht="42.75" x14ac:dyDescent="0.25">
      <c r="B30" s="1409"/>
      <c r="C30" s="1608" t="s">
        <v>1069</v>
      </c>
      <c r="D30" s="1609"/>
      <c r="E30" s="1410" t="s">
        <v>1234</v>
      </c>
      <c r="F30" s="1560" t="s">
        <v>11</v>
      </c>
      <c r="G30" s="1411"/>
      <c r="H30" s="1412"/>
      <c r="I30" s="1434"/>
      <c r="J30" s="1434"/>
      <c r="K30" s="1434"/>
      <c r="L30" s="1434"/>
      <c r="M30" s="1434"/>
      <c r="N30" s="1434"/>
      <c r="O30" s="1434"/>
      <c r="P30" s="1434"/>
      <c r="Q30" s="1434"/>
      <c r="R30" s="1434"/>
      <c r="S30" s="1428"/>
      <c r="T30" s="1420"/>
    </row>
    <row r="31" spans="1:20" s="1421" customFormat="1" ht="42.75" x14ac:dyDescent="0.25">
      <c r="B31" s="1409"/>
      <c r="C31" s="1608" t="s">
        <v>1067</v>
      </c>
      <c r="D31" s="1609"/>
      <c r="E31" s="1410" t="s">
        <v>1235</v>
      </c>
      <c r="F31" s="1560" t="s">
        <v>11</v>
      </c>
      <c r="G31" s="1411"/>
      <c r="H31" s="1412"/>
      <c r="I31" s="1434"/>
      <c r="J31" s="1434"/>
      <c r="K31" s="1434"/>
      <c r="L31" s="1434"/>
      <c r="M31" s="1434"/>
      <c r="N31" s="1434"/>
      <c r="O31" s="1434"/>
      <c r="P31" s="1434"/>
      <c r="Q31" s="1434"/>
      <c r="R31" s="1434"/>
      <c r="S31" s="1428"/>
      <c r="T31" s="1420"/>
    </row>
    <row r="32" spans="1:20" s="1421" customFormat="1" ht="15.75" customHeight="1" thickBot="1" x14ac:dyDescent="0.25">
      <c r="A32" s="1383"/>
      <c r="B32" s="1439"/>
      <c r="C32" s="1440" t="s">
        <v>1076</v>
      </c>
      <c r="D32" s="1610" t="s">
        <v>1078</v>
      </c>
      <c r="E32" s="1610"/>
      <c r="F32" s="1441"/>
      <c r="G32" s="1442"/>
      <c r="H32" s="1412"/>
      <c r="I32" s="1434"/>
      <c r="J32" s="1434"/>
      <c r="K32" s="1434"/>
      <c r="L32" s="1434"/>
      <c r="M32" s="1434"/>
      <c r="N32" s="1434"/>
      <c r="O32" s="1434"/>
      <c r="P32" s="1434"/>
      <c r="Q32" s="1434"/>
      <c r="R32" s="1434"/>
      <c r="S32" s="1428"/>
      <c r="T32" s="1420"/>
    </row>
    <row r="33" spans="2:20" s="1421" customFormat="1" ht="15.75" thickBot="1" x14ac:dyDescent="0.3">
      <c r="B33" s="1409"/>
      <c r="C33" s="1433"/>
      <c r="D33" s="1433"/>
      <c r="E33" s="1433"/>
      <c r="F33" s="1390"/>
      <c r="G33" s="1411"/>
      <c r="H33" s="1412"/>
      <c r="I33" s="1434"/>
      <c r="J33" s="1434"/>
      <c r="K33" s="1434"/>
      <c r="L33" s="1434"/>
      <c r="M33" s="1434"/>
      <c r="N33" s="1434"/>
      <c r="O33" s="1434"/>
      <c r="P33" s="1434"/>
      <c r="Q33" s="1434"/>
      <c r="R33" s="1434"/>
      <c r="S33" s="1428"/>
      <c r="T33" s="1420"/>
    </row>
    <row r="34" spans="2:20" ht="30" customHeight="1" x14ac:dyDescent="0.2">
      <c r="B34" s="1389"/>
      <c r="C34" s="1396" t="s">
        <v>1035</v>
      </c>
      <c r="D34" s="1606">
        <f>J18</f>
        <v>0</v>
      </c>
      <c r="E34" s="1606"/>
      <c r="F34" s="1387"/>
      <c r="G34" s="1391"/>
      <c r="I34" s="1385"/>
      <c r="J34" s="1385"/>
      <c r="K34" s="1385"/>
      <c r="L34" s="1385"/>
      <c r="M34" s="1385"/>
      <c r="N34" s="1435"/>
      <c r="O34" s="1435"/>
      <c r="P34" s="1436"/>
      <c r="Q34" s="1436"/>
      <c r="R34" s="1436"/>
    </row>
    <row r="35" spans="2:20" s="1421" customFormat="1" x14ac:dyDescent="0.25">
      <c r="B35" s="1409"/>
      <c r="C35" s="1437"/>
      <c r="D35" s="1437"/>
      <c r="E35" s="1433"/>
      <c r="F35" s="1390"/>
      <c r="G35" s="1411"/>
      <c r="H35" s="1412"/>
      <c r="I35" s="1434"/>
      <c r="J35" s="1434"/>
      <c r="K35" s="1434"/>
      <c r="L35" s="1434"/>
      <c r="M35" s="1434"/>
      <c r="N35" s="1434"/>
      <c r="O35" s="1434"/>
      <c r="P35" s="1434"/>
      <c r="Q35" s="1434"/>
      <c r="R35" s="1434"/>
      <c r="S35" s="1428"/>
      <c r="T35" s="1420"/>
    </row>
    <row r="36" spans="2:20" s="1421" customFormat="1" ht="42.75" x14ac:dyDescent="0.25">
      <c r="B36" s="1409"/>
      <c r="C36" s="1608" t="s">
        <v>1041</v>
      </c>
      <c r="D36" s="1609"/>
      <c r="E36" s="1410" t="s">
        <v>1236</v>
      </c>
      <c r="F36" s="1560" t="s">
        <v>11</v>
      </c>
      <c r="G36" s="1411"/>
      <c r="H36" s="1412"/>
      <c r="I36" s="1420"/>
      <c r="J36" s="1420"/>
      <c r="K36" s="1420"/>
      <c r="L36" s="1420"/>
      <c r="M36" s="1420"/>
      <c r="N36" s="1420"/>
      <c r="O36" s="1420"/>
      <c r="P36" s="1420"/>
      <c r="Q36" s="1420"/>
      <c r="R36" s="1420"/>
      <c r="S36" s="1412"/>
      <c r="T36" s="1420"/>
    </row>
    <row r="37" spans="2:20" s="1421" customFormat="1" ht="71.25" x14ac:dyDescent="0.25">
      <c r="B37" s="1409"/>
      <c r="C37" s="1608" t="s">
        <v>1045</v>
      </c>
      <c r="D37" s="1609"/>
      <c r="E37" s="1410" t="s">
        <v>1039</v>
      </c>
      <c r="F37" s="1560" t="s">
        <v>11</v>
      </c>
      <c r="G37" s="1411"/>
      <c r="H37" s="1412"/>
      <c r="I37" s="1420"/>
      <c r="J37" s="1420"/>
      <c r="K37" s="1420"/>
      <c r="L37" s="1420"/>
      <c r="M37" s="1420"/>
      <c r="N37" s="1420"/>
      <c r="O37" s="1420"/>
      <c r="P37" s="1420"/>
      <c r="Q37" s="1420"/>
      <c r="R37" s="1420"/>
      <c r="S37" s="1412"/>
      <c r="T37" s="1420"/>
    </row>
    <row r="38" spans="2:20" s="1421" customFormat="1" ht="28.5" x14ac:dyDescent="0.25">
      <c r="B38" s="1409"/>
      <c r="C38" s="1608" t="s">
        <v>1036</v>
      </c>
      <c r="D38" s="1609"/>
      <c r="E38" s="1410" t="s">
        <v>1037</v>
      </c>
      <c r="F38" s="1560" t="s">
        <v>11</v>
      </c>
      <c r="G38" s="1411"/>
      <c r="H38" s="1412"/>
      <c r="I38" s="1420"/>
      <c r="J38" s="1420"/>
      <c r="K38" s="1420"/>
      <c r="L38" s="1420"/>
      <c r="M38" s="1420"/>
      <c r="N38" s="1420"/>
      <c r="O38" s="1420"/>
      <c r="P38" s="1420"/>
      <c r="Q38" s="1420"/>
      <c r="R38" s="1420"/>
      <c r="S38" s="1412"/>
      <c r="T38" s="1420"/>
    </row>
    <row r="39" spans="2:20" s="1421" customFormat="1" ht="42.75" x14ac:dyDescent="0.25">
      <c r="B39" s="1409"/>
      <c r="C39" s="1608" t="s">
        <v>1038</v>
      </c>
      <c r="D39" s="1609"/>
      <c r="E39" s="1410" t="s">
        <v>1042</v>
      </c>
      <c r="F39" s="1560" t="s">
        <v>11</v>
      </c>
      <c r="G39" s="1411"/>
      <c r="H39" s="1412"/>
      <c r="I39" s="1420"/>
      <c r="J39" s="1420"/>
      <c r="K39" s="1420"/>
      <c r="L39" s="1420"/>
      <c r="M39" s="1420"/>
      <c r="N39" s="1420"/>
      <c r="O39" s="1420"/>
      <c r="P39" s="1420"/>
      <c r="Q39" s="1420"/>
      <c r="R39" s="1420"/>
      <c r="S39" s="1412"/>
      <c r="T39" s="1420"/>
    </row>
    <row r="40" spans="2:20" s="1421" customFormat="1" ht="71.25" x14ac:dyDescent="0.25">
      <c r="B40" s="1409"/>
      <c r="C40" s="1608" t="s">
        <v>1238</v>
      </c>
      <c r="D40" s="1609"/>
      <c r="E40" s="1410" t="s">
        <v>1237</v>
      </c>
      <c r="F40" s="1560" t="s">
        <v>11</v>
      </c>
      <c r="G40" s="1411"/>
      <c r="H40" s="1412"/>
      <c r="I40" s="1420"/>
      <c r="J40" s="1420"/>
      <c r="K40" s="1420"/>
      <c r="L40" s="1420"/>
      <c r="M40" s="1420"/>
      <c r="N40" s="1420"/>
      <c r="O40" s="1420"/>
      <c r="P40" s="1420"/>
      <c r="Q40" s="1420"/>
      <c r="R40" s="1420"/>
      <c r="S40" s="1412"/>
      <c r="T40" s="1420"/>
    </row>
    <row r="41" spans="2:20" s="1421" customFormat="1" ht="15.75" thickBot="1" x14ac:dyDescent="0.3">
      <c r="B41" s="1409"/>
      <c r="C41" s="1433"/>
      <c r="D41" s="1433"/>
      <c r="E41" s="1433"/>
      <c r="F41" s="1390"/>
      <c r="G41" s="1411"/>
      <c r="H41" s="1412"/>
      <c r="I41" s="1420"/>
      <c r="J41" s="1420"/>
      <c r="K41" s="1420"/>
      <c r="L41" s="1420"/>
      <c r="M41" s="1420"/>
      <c r="N41" s="1420"/>
      <c r="O41" s="1420"/>
      <c r="P41" s="1420"/>
      <c r="Q41" s="1420"/>
      <c r="R41" s="1420"/>
      <c r="S41" s="1412"/>
      <c r="T41" s="1420"/>
    </row>
    <row r="42" spans="2:20" ht="30" customHeight="1" x14ac:dyDescent="0.2">
      <c r="B42" s="1389"/>
      <c r="C42" s="1396" t="s">
        <v>1047</v>
      </c>
      <c r="D42" s="1606">
        <f>J19</f>
        <v>0</v>
      </c>
      <c r="E42" s="1606"/>
      <c r="F42" s="1387"/>
      <c r="G42" s="1391"/>
      <c r="I42" s="1385"/>
      <c r="J42" s="1385"/>
      <c r="K42" s="1385"/>
      <c r="L42" s="1385"/>
      <c r="M42" s="1385"/>
      <c r="N42" s="1435"/>
      <c r="O42" s="1435"/>
      <c r="P42" s="1436"/>
      <c r="Q42" s="1436"/>
      <c r="R42" s="1436"/>
    </row>
    <row r="43" spans="2:20" s="1421" customFormat="1" x14ac:dyDescent="0.25">
      <c r="B43" s="1409"/>
      <c r="C43" s="1437"/>
      <c r="D43" s="1437"/>
      <c r="E43" s="1433"/>
      <c r="F43" s="1390"/>
      <c r="G43" s="1411"/>
      <c r="H43" s="1412"/>
      <c r="I43" s="1420"/>
      <c r="J43" s="1420"/>
      <c r="K43" s="1420"/>
      <c r="L43" s="1420"/>
      <c r="M43" s="1420"/>
      <c r="N43" s="1420"/>
      <c r="O43" s="1420"/>
      <c r="P43" s="1420"/>
      <c r="Q43" s="1420"/>
      <c r="R43" s="1420"/>
      <c r="S43" s="1412"/>
      <c r="T43" s="1420"/>
    </row>
    <row r="44" spans="2:20" s="1421" customFormat="1" ht="57" x14ac:dyDescent="0.25">
      <c r="B44" s="1409"/>
      <c r="C44" s="1608" t="s">
        <v>1043</v>
      </c>
      <c r="D44" s="1609"/>
      <c r="E44" s="1410" t="s">
        <v>1202</v>
      </c>
      <c r="F44" s="1560" t="s">
        <v>11</v>
      </c>
      <c r="G44" s="1411"/>
      <c r="H44" s="1412"/>
      <c r="I44" s="1420"/>
      <c r="J44" s="1420"/>
      <c r="K44" s="1420"/>
      <c r="L44" s="1420"/>
      <c r="M44" s="1420"/>
      <c r="N44" s="1420"/>
      <c r="O44" s="1420"/>
      <c r="P44" s="1420"/>
      <c r="Q44" s="1420"/>
      <c r="R44" s="1420"/>
      <c r="S44" s="1412"/>
      <c r="T44" s="1420"/>
    </row>
    <row r="45" spans="2:20" s="1421" customFormat="1" ht="57" x14ac:dyDescent="0.25">
      <c r="B45" s="1409"/>
      <c r="C45" s="1608" t="s">
        <v>5</v>
      </c>
      <c r="D45" s="1609"/>
      <c r="E45" s="1410" t="s">
        <v>1135</v>
      </c>
      <c r="F45" s="1560" t="s">
        <v>11</v>
      </c>
      <c r="G45" s="1411"/>
      <c r="H45" s="1412"/>
      <c r="I45" s="1420"/>
      <c r="J45" s="1420"/>
      <c r="K45" s="1420"/>
      <c r="L45" s="1420"/>
      <c r="M45" s="1420"/>
      <c r="N45" s="1420"/>
      <c r="O45" s="1420"/>
      <c r="P45" s="1420"/>
      <c r="Q45" s="1420"/>
      <c r="R45" s="1420"/>
      <c r="S45" s="1412"/>
      <c r="T45" s="1420"/>
    </row>
    <row r="46" spans="2:20" s="1421" customFormat="1" ht="28.5" x14ac:dyDescent="0.25">
      <c r="B46" s="1409"/>
      <c r="C46" s="1608" t="s">
        <v>6</v>
      </c>
      <c r="D46" s="1609"/>
      <c r="E46" s="1410" t="s">
        <v>1044</v>
      </c>
      <c r="F46" s="1560" t="s">
        <v>11</v>
      </c>
      <c r="G46" s="1411"/>
      <c r="H46" s="1412"/>
      <c r="I46" s="1420"/>
      <c r="J46" s="1420"/>
      <c r="K46" s="1420"/>
      <c r="L46" s="1420"/>
      <c r="M46" s="1420"/>
      <c r="N46" s="1420"/>
      <c r="O46" s="1420"/>
      <c r="P46" s="1420"/>
      <c r="Q46" s="1420"/>
      <c r="R46" s="1420"/>
      <c r="S46" s="1412"/>
      <c r="T46" s="1420"/>
    </row>
    <row r="47" spans="2:20" s="1421" customFormat="1" ht="28.5" x14ac:dyDescent="0.25">
      <c r="B47" s="1409"/>
      <c r="C47" s="1608" t="s">
        <v>8</v>
      </c>
      <c r="D47" s="1609"/>
      <c r="E47" s="1410" t="s">
        <v>1203</v>
      </c>
      <c r="F47" s="1560" t="s">
        <v>11</v>
      </c>
      <c r="G47" s="1411"/>
      <c r="H47" s="1412"/>
      <c r="I47" s="1420"/>
      <c r="J47" s="1420"/>
      <c r="K47" s="1420"/>
      <c r="L47" s="1420"/>
      <c r="M47" s="1420"/>
      <c r="N47" s="1420"/>
      <c r="O47" s="1420"/>
      <c r="P47" s="1420"/>
      <c r="Q47" s="1420"/>
      <c r="R47" s="1420"/>
      <c r="S47" s="1412"/>
      <c r="T47" s="1420"/>
    </row>
    <row r="48" spans="2:20" s="1421" customFormat="1" ht="28.5" x14ac:dyDescent="0.25">
      <c r="B48" s="1409"/>
      <c r="C48" s="1608" t="s">
        <v>1046</v>
      </c>
      <c r="D48" s="1609"/>
      <c r="E48" s="1410" t="s">
        <v>1204</v>
      </c>
      <c r="F48" s="1560" t="s">
        <v>11</v>
      </c>
      <c r="G48" s="1411"/>
      <c r="H48" s="1412"/>
      <c r="I48" s="1420"/>
      <c r="J48" s="1420"/>
      <c r="K48" s="1420"/>
      <c r="L48" s="1420"/>
      <c r="M48" s="1420"/>
      <c r="N48" s="1420"/>
      <c r="O48" s="1420"/>
      <c r="P48" s="1420"/>
      <c r="Q48" s="1420"/>
      <c r="R48" s="1420"/>
      <c r="S48" s="1412"/>
      <c r="T48" s="1420"/>
    </row>
    <row r="49" spans="2:20" s="1421" customFormat="1" ht="57" x14ac:dyDescent="0.25">
      <c r="B49" s="1409"/>
      <c r="C49" s="1608" t="s">
        <v>1048</v>
      </c>
      <c r="D49" s="1609"/>
      <c r="E49" s="1410" t="s">
        <v>1074</v>
      </c>
      <c r="F49" s="1560" t="s">
        <v>11</v>
      </c>
      <c r="G49" s="1411"/>
      <c r="H49" s="1412"/>
      <c r="I49" s="1420"/>
      <c r="J49" s="1420"/>
      <c r="K49" s="1420"/>
      <c r="L49" s="1420"/>
      <c r="M49" s="1420"/>
      <c r="N49" s="1420"/>
      <c r="O49" s="1420"/>
      <c r="P49" s="1420"/>
      <c r="Q49" s="1420"/>
      <c r="R49" s="1420"/>
      <c r="S49" s="1412"/>
      <c r="T49" s="1420"/>
    </row>
    <row r="50" spans="2:20" s="1421" customFormat="1" ht="15.75" thickBot="1" x14ac:dyDescent="0.3">
      <c r="B50" s="1409"/>
      <c r="C50" s="1438"/>
      <c r="D50" s="1438"/>
      <c r="E50" s="1433"/>
      <c r="F50" s="1390"/>
      <c r="G50" s="1411"/>
      <c r="H50" s="1412"/>
      <c r="I50" s="1420"/>
      <c r="J50" s="1420"/>
      <c r="K50" s="1420"/>
      <c r="L50" s="1420"/>
      <c r="M50" s="1420"/>
      <c r="N50" s="1420"/>
      <c r="O50" s="1420"/>
      <c r="P50" s="1420"/>
      <c r="Q50" s="1420"/>
      <c r="R50" s="1420"/>
      <c r="S50" s="1412"/>
      <c r="T50" s="1420"/>
    </row>
    <row r="51" spans="2:20" ht="30" customHeight="1" x14ac:dyDescent="0.2">
      <c r="B51" s="1389"/>
      <c r="C51" s="1396" t="s">
        <v>66</v>
      </c>
      <c r="D51" s="1606">
        <f>J20</f>
        <v>0</v>
      </c>
      <c r="E51" s="1606"/>
      <c r="F51" s="1387"/>
      <c r="G51" s="1391"/>
      <c r="I51" s="1385"/>
      <c r="J51" s="1385"/>
      <c r="K51" s="1385"/>
      <c r="L51" s="1385"/>
      <c r="M51" s="1385"/>
      <c r="N51" s="1435"/>
      <c r="O51" s="1435"/>
      <c r="P51" s="1436"/>
      <c r="Q51" s="1436"/>
      <c r="R51" s="1436"/>
    </row>
    <row r="52" spans="2:20" s="1421" customFormat="1" x14ac:dyDescent="0.25">
      <c r="B52" s="1409"/>
      <c r="C52" s="1437"/>
      <c r="D52" s="1437"/>
      <c r="E52" s="1433"/>
      <c r="F52" s="1390"/>
      <c r="G52" s="1411"/>
      <c r="H52" s="1412"/>
      <c r="I52" s="1420"/>
      <c r="J52" s="1420"/>
      <c r="K52" s="1420"/>
      <c r="L52" s="1420"/>
      <c r="M52" s="1420"/>
      <c r="N52" s="1420"/>
      <c r="O52" s="1420"/>
      <c r="P52" s="1420"/>
      <c r="Q52" s="1420"/>
      <c r="R52" s="1420"/>
      <c r="S52" s="1412"/>
      <c r="T52" s="1420"/>
    </row>
    <row r="53" spans="2:20" s="1421" customFormat="1" ht="71.25" x14ac:dyDescent="0.25">
      <c r="B53" s="1409"/>
      <c r="C53" s="1608" t="s">
        <v>1049</v>
      </c>
      <c r="D53" s="1609"/>
      <c r="E53" s="1410" t="s">
        <v>1050</v>
      </c>
      <c r="F53" s="1560" t="s">
        <v>11</v>
      </c>
      <c r="G53" s="1411"/>
      <c r="H53" s="1412"/>
      <c r="I53" s="1420"/>
      <c r="J53" s="1420"/>
      <c r="K53" s="1420"/>
      <c r="L53" s="1420"/>
      <c r="M53" s="1420"/>
      <c r="N53" s="1420"/>
      <c r="O53" s="1420"/>
      <c r="P53" s="1420"/>
      <c r="Q53" s="1420"/>
      <c r="R53" s="1420"/>
      <c r="S53" s="1412"/>
      <c r="T53" s="1420"/>
    </row>
    <row r="54" spans="2:20" s="1421" customFormat="1" ht="28.5" x14ac:dyDescent="0.25">
      <c r="B54" s="1409"/>
      <c r="C54" s="1608" t="s">
        <v>1</v>
      </c>
      <c r="D54" s="1609"/>
      <c r="E54" s="1410" t="s">
        <v>1051</v>
      </c>
      <c r="F54" s="1560" t="s">
        <v>11</v>
      </c>
      <c r="G54" s="1411"/>
      <c r="H54" s="1412"/>
      <c r="I54" s="1420"/>
      <c r="J54" s="1420"/>
      <c r="K54" s="1420"/>
      <c r="L54" s="1420"/>
      <c r="M54" s="1420"/>
      <c r="N54" s="1420"/>
      <c r="O54" s="1420"/>
      <c r="P54" s="1420"/>
      <c r="Q54" s="1420"/>
      <c r="R54" s="1420"/>
      <c r="S54" s="1412"/>
      <c r="T54" s="1420"/>
    </row>
    <row r="55" spans="2:20" s="1421" customFormat="1" ht="42.75" x14ac:dyDescent="0.25">
      <c r="B55" s="1409"/>
      <c r="C55" s="1608" t="s">
        <v>1053</v>
      </c>
      <c r="D55" s="1609"/>
      <c r="E55" s="1410" t="s">
        <v>1052</v>
      </c>
      <c r="F55" s="1560" t="s">
        <v>11</v>
      </c>
      <c r="G55" s="1411"/>
      <c r="H55" s="1412"/>
      <c r="I55" s="1420"/>
      <c r="J55" s="1420"/>
      <c r="K55" s="1420"/>
      <c r="L55" s="1420"/>
      <c r="M55" s="1420"/>
      <c r="N55" s="1420"/>
      <c r="O55" s="1420"/>
      <c r="P55" s="1420"/>
      <c r="Q55" s="1420"/>
      <c r="R55" s="1420"/>
      <c r="S55" s="1412"/>
      <c r="T55" s="1420"/>
    </row>
    <row r="56" spans="2:20" s="1421" customFormat="1" ht="42.75" x14ac:dyDescent="0.25">
      <c r="B56" s="1409"/>
      <c r="C56" s="1608" t="s">
        <v>1054</v>
      </c>
      <c r="D56" s="1609"/>
      <c r="E56" s="1410" t="s">
        <v>1055</v>
      </c>
      <c r="F56" s="1560" t="s">
        <v>11</v>
      </c>
      <c r="G56" s="1411"/>
      <c r="H56" s="1412"/>
      <c r="I56" s="1420"/>
      <c r="J56" s="1420"/>
      <c r="K56" s="1420"/>
      <c r="L56" s="1420"/>
      <c r="M56" s="1420"/>
      <c r="N56" s="1420"/>
      <c r="O56" s="1420"/>
      <c r="P56" s="1420"/>
      <c r="Q56" s="1420"/>
      <c r="R56" s="1420"/>
      <c r="S56" s="1412"/>
      <c r="T56" s="1420"/>
    </row>
    <row r="57" spans="2:20" s="1421" customFormat="1" ht="42.75" x14ac:dyDescent="0.25">
      <c r="B57" s="1409"/>
      <c r="C57" s="1608" t="s">
        <v>1056</v>
      </c>
      <c r="D57" s="1609"/>
      <c r="E57" s="1410" t="s">
        <v>1057</v>
      </c>
      <c r="F57" s="1560" t="s">
        <v>11</v>
      </c>
      <c r="G57" s="1411"/>
      <c r="H57" s="1412"/>
      <c r="I57" s="1420"/>
      <c r="J57" s="1420"/>
      <c r="K57" s="1420"/>
      <c r="L57" s="1420"/>
      <c r="M57" s="1420"/>
      <c r="N57" s="1420"/>
      <c r="O57" s="1420"/>
      <c r="P57" s="1420"/>
      <c r="Q57" s="1420"/>
      <c r="R57" s="1420"/>
      <c r="S57" s="1412"/>
      <c r="T57" s="1420"/>
    </row>
    <row r="58" spans="2:20" s="1421" customFormat="1" ht="42.75" customHeight="1" x14ac:dyDescent="0.25">
      <c r="B58" s="1409"/>
      <c r="C58" s="1608" t="s">
        <v>1058</v>
      </c>
      <c r="D58" s="1609"/>
      <c r="E58" s="1410" t="s">
        <v>1205</v>
      </c>
      <c r="F58" s="1560" t="s">
        <v>11</v>
      </c>
      <c r="G58" s="1411"/>
      <c r="H58" s="1412"/>
      <c r="I58" s="1420"/>
      <c r="J58" s="1420"/>
      <c r="K58" s="1420"/>
      <c r="L58" s="1420"/>
      <c r="M58" s="1420"/>
      <c r="N58" s="1420"/>
      <c r="O58" s="1420"/>
      <c r="P58" s="1420"/>
      <c r="Q58" s="1420"/>
      <c r="R58" s="1420"/>
      <c r="S58" s="1412"/>
      <c r="T58" s="1420"/>
    </row>
    <row r="59" spans="2:20" s="1421" customFormat="1" ht="15.75" thickBot="1" x14ac:dyDescent="0.3">
      <c r="B59" s="1447"/>
      <c r="C59" s="1448"/>
      <c r="D59" s="1448"/>
      <c r="E59" s="1449"/>
      <c r="F59" s="1450"/>
      <c r="G59" s="1451"/>
      <c r="H59" s="1412"/>
      <c r="I59" s="1420"/>
      <c r="J59" s="1420"/>
      <c r="K59" s="1420"/>
      <c r="L59" s="1420"/>
      <c r="M59" s="1420"/>
      <c r="N59" s="1420"/>
      <c r="O59" s="1420"/>
      <c r="P59" s="1420"/>
      <c r="Q59" s="1420"/>
      <c r="R59" s="1420"/>
      <c r="S59" s="1412"/>
      <c r="T59" s="1420"/>
    </row>
    <row r="60" spans="2:20" x14ac:dyDescent="0.2">
      <c r="I60" s="1385"/>
      <c r="J60" s="1385"/>
      <c r="K60" s="1385"/>
      <c r="L60" s="1385"/>
      <c r="M60" s="1385"/>
      <c r="N60" s="1385"/>
      <c r="O60" s="1385"/>
      <c r="P60" s="1385"/>
      <c r="Q60" s="1385"/>
      <c r="R60" s="1385"/>
    </row>
    <row r="61" spans="2:20" hidden="1" x14ac:dyDescent="0.2">
      <c r="I61" s="1385"/>
      <c r="J61" s="1385"/>
      <c r="K61" s="1385"/>
      <c r="L61" s="1385"/>
      <c r="M61" s="1385"/>
      <c r="N61" s="1385"/>
      <c r="O61" s="1385"/>
      <c r="P61" s="1385"/>
      <c r="Q61" s="1385"/>
      <c r="R61" s="1385"/>
    </row>
    <row r="62" spans="2:20" x14ac:dyDescent="0.2"/>
    <row r="63" spans="2:20" hidden="1" x14ac:dyDescent="0.2"/>
    <row r="64" spans="2:20" hidden="1" x14ac:dyDescent="0.2"/>
    <row r="65" hidden="1" x14ac:dyDescent="0.2"/>
  </sheetData>
  <sheetProtection password="D65F" sheet="1" objects="1" scenarios="1"/>
  <mergeCells count="37">
    <mergeCell ref="C56:D56"/>
    <mergeCell ref="C40:D40"/>
    <mergeCell ref="D25:E25"/>
    <mergeCell ref="C27:D27"/>
    <mergeCell ref="C28:D28"/>
    <mergeCell ref="C29:D29"/>
    <mergeCell ref="C30:D30"/>
    <mergeCell ref="C39:D39"/>
    <mergeCell ref="C31:D31"/>
    <mergeCell ref="D32:E32"/>
    <mergeCell ref="C54:D54"/>
    <mergeCell ref="C55:D55"/>
    <mergeCell ref="C3:D3"/>
    <mergeCell ref="C57:D57"/>
    <mergeCell ref="C58:D58"/>
    <mergeCell ref="C49:D49"/>
    <mergeCell ref="D34:E34"/>
    <mergeCell ref="D42:E42"/>
    <mergeCell ref="D51:E51"/>
    <mergeCell ref="C53:D53"/>
    <mergeCell ref="C44:D44"/>
    <mergeCell ref="C45:D45"/>
    <mergeCell ref="C46:D46"/>
    <mergeCell ref="C47:D47"/>
    <mergeCell ref="C48:D48"/>
    <mergeCell ref="C36:D36"/>
    <mergeCell ref="C37:D37"/>
    <mergeCell ref="C38:D38"/>
    <mergeCell ref="C20:D20"/>
    <mergeCell ref="C21:D21"/>
    <mergeCell ref="C22:D22"/>
    <mergeCell ref="C23:D23"/>
    <mergeCell ref="D14:E14"/>
    <mergeCell ref="C16:D16"/>
    <mergeCell ref="C17:D17"/>
    <mergeCell ref="C18:D18"/>
    <mergeCell ref="C19:D19"/>
  </mergeCells>
  <conditionalFormatting sqref="D14">
    <cfRule type="colorScale" priority="19">
      <colorScale>
        <cfvo type="num" val="0.3"/>
        <cfvo type="num" val="0.7"/>
        <cfvo type="num" val="1"/>
        <color rgb="FFFF0000"/>
        <color rgb="FFFFEB84"/>
        <color rgb="FF00B050"/>
      </colorScale>
    </cfRule>
  </conditionalFormatting>
  <conditionalFormatting sqref="D42">
    <cfRule type="colorScale" priority="12">
      <colorScale>
        <cfvo type="num" val="0.3"/>
        <cfvo type="num" val="0.7"/>
        <cfvo type="num" val="1"/>
        <color rgb="FFFF0000"/>
        <color rgb="FFFFEB84"/>
        <color rgb="FF00B050"/>
      </colorScale>
    </cfRule>
  </conditionalFormatting>
  <conditionalFormatting sqref="D14:E14">
    <cfRule type="cellIs" dxfId="413" priority="15" operator="equal">
      <formula>0</formula>
    </cfRule>
  </conditionalFormatting>
  <conditionalFormatting sqref="D51:E51">
    <cfRule type="cellIs" dxfId="412" priority="7" operator="equal">
      <formula>0</formula>
    </cfRule>
  </conditionalFormatting>
  <conditionalFormatting sqref="D34">
    <cfRule type="colorScale" priority="14">
      <colorScale>
        <cfvo type="num" val="0.3"/>
        <cfvo type="num" val="0.7"/>
        <cfvo type="num" val="1"/>
        <color rgb="FFFF0000"/>
        <color rgb="FFFFEB84"/>
        <color rgb="FF00B050"/>
      </colorScale>
    </cfRule>
  </conditionalFormatting>
  <conditionalFormatting sqref="D34:E34">
    <cfRule type="cellIs" dxfId="411" priority="13" operator="equal">
      <formula>0</formula>
    </cfRule>
  </conditionalFormatting>
  <conditionalFormatting sqref="D42:E42">
    <cfRule type="cellIs" dxfId="410" priority="11" operator="equal">
      <formula>0</formula>
    </cfRule>
  </conditionalFormatting>
  <conditionalFormatting sqref="D51">
    <cfRule type="colorScale" priority="8">
      <colorScale>
        <cfvo type="num" val="0.3"/>
        <cfvo type="num" val="0.7"/>
        <cfvo type="num" val="1"/>
        <color rgb="FFFF0000"/>
        <color rgb="FFFFEB84"/>
        <color rgb="FF00B050"/>
      </colorScale>
    </cfRule>
  </conditionalFormatting>
  <conditionalFormatting sqref="D25:E25">
    <cfRule type="cellIs" dxfId="409" priority="1" operator="equal">
      <formula>0</formula>
    </cfRule>
  </conditionalFormatting>
  <conditionalFormatting sqref="D25">
    <cfRule type="colorScale" priority="2">
      <colorScale>
        <cfvo type="num" val="0.3"/>
        <cfvo type="num" val="0.7"/>
        <cfvo type="num" val="1"/>
        <color rgb="FFFF0000"/>
        <color rgb="FFFFEB84"/>
        <color rgb="FF00B050"/>
      </colorScale>
    </cfRule>
  </conditionalFormatting>
  <dataValidations count="1">
    <dataValidation type="list" allowBlank="1" showInputMessage="1" showErrorMessage="1" sqref="F33:F49 F27:F31 F16:F24 F53:F59">
      <formula1>Liste</formula1>
    </dataValidation>
  </dataValidations>
  <pageMargins left="0.70866141732283472" right="0.70866141732283472" top="0.78740157480314965" bottom="0.78740157480314965" header="0.31496062992125984" footer="0.31496062992125984"/>
  <pageSetup paperSize="9" scale="63" orientation="portrait" r:id="rId1"/>
  <headerFooter>
    <oddFooter>&amp;L&amp;D&amp;Cuwe Luzern</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pageSetUpPr fitToPage="1"/>
  </sheetPr>
  <dimension ref="A1:BJ150"/>
  <sheetViews>
    <sheetView showGridLines="0" showRowColHeaders="0" zoomScaleNormal="100" workbookViewId="0"/>
  </sheetViews>
  <sheetFormatPr baseColWidth="10" defaultColWidth="0" defaultRowHeight="15" zeroHeight="1" x14ac:dyDescent="0.25"/>
  <cols>
    <col min="1" max="1" width="11.42578125" style="374" customWidth="1"/>
    <col min="2" max="2" width="3.7109375" style="374" customWidth="1"/>
    <col min="3" max="3" width="30.7109375" style="374" customWidth="1"/>
    <col min="4" max="4" width="10.7109375" style="374" customWidth="1"/>
    <col min="5" max="5" width="20.7109375" style="374" customWidth="1"/>
    <col min="6" max="6" width="22.140625" style="374" customWidth="1"/>
    <col min="7" max="8" width="20.7109375" style="374" customWidth="1"/>
    <col min="9" max="9" width="3.7109375" style="374" customWidth="1"/>
    <col min="10" max="11" width="3.7109375" style="400" customWidth="1"/>
    <col min="12" max="12" width="30.7109375" style="400" customWidth="1"/>
    <col min="13" max="17" width="20.7109375" style="400" customWidth="1"/>
    <col min="18" max="20" width="3.7109375" style="400" customWidth="1"/>
    <col min="21" max="21" width="30.7109375" style="400" customWidth="1"/>
    <col min="22" max="26" width="20.7109375" style="400" customWidth="1"/>
    <col min="27" max="29" width="3.7109375" style="400" customWidth="1"/>
    <col min="30" max="30" width="30.7109375" style="400" customWidth="1"/>
    <col min="31" max="32" width="20.7109375" style="400" customWidth="1"/>
    <col min="33" max="35" width="3.7109375" style="400" customWidth="1"/>
    <col min="36" max="36" width="30.7109375" style="400" customWidth="1"/>
    <col min="37" max="37" width="10.7109375" style="400" customWidth="1"/>
    <col min="38" max="41" width="20.7109375" style="400" customWidth="1"/>
    <col min="42" max="42" width="11.42578125" style="112" customWidth="1"/>
    <col min="43" max="43" width="3.7109375" style="111" customWidth="1"/>
    <col min="44" max="44" width="2.7109375" style="373" customWidth="1"/>
    <col min="45" max="46" width="2.7109375" style="374" customWidth="1"/>
    <col min="47" max="47" width="37.140625" style="374" customWidth="1"/>
    <col min="48" max="48" width="17.140625" style="374" customWidth="1"/>
    <col min="49" max="49" width="11.42578125" style="374" customWidth="1"/>
    <col min="50" max="50" width="21.42578125" style="374" customWidth="1"/>
    <col min="51" max="51" width="14.7109375" style="374" customWidth="1"/>
    <col min="52" max="52" width="23" style="374" customWidth="1"/>
    <col min="53" max="53" width="15.42578125" style="374" customWidth="1"/>
    <col min="54" max="54" width="14" style="374" customWidth="1"/>
    <col min="55" max="55" width="15" style="374" customWidth="1"/>
    <col min="56" max="56" width="24.85546875" style="374" customWidth="1"/>
    <col min="57" max="57" width="11.42578125" style="374" customWidth="1"/>
    <col min="58" max="58" width="18.140625" style="374" customWidth="1"/>
    <col min="59" max="59" width="20.42578125" style="374" customWidth="1"/>
    <col min="60" max="60" width="12" style="462" customWidth="1"/>
    <col min="61" max="61" width="19.5703125" style="399" hidden="1" customWidth="1"/>
    <col min="62" max="62" width="0" style="374" hidden="1" customWidth="1"/>
    <col min="63" max="16384" width="11.42578125" style="374" hidden="1"/>
  </cols>
  <sheetData>
    <row r="1" spans="2:56" x14ac:dyDescent="0.25"/>
    <row r="2" spans="2:56" ht="26.25" x14ac:dyDescent="0.4">
      <c r="C2" s="458" t="s">
        <v>531</v>
      </c>
      <c r="G2" s="374" t="s">
        <v>539</v>
      </c>
      <c r="H2" s="374" t="s">
        <v>541</v>
      </c>
      <c r="J2" s="485" t="s">
        <v>538</v>
      </c>
      <c r="L2" s="400" t="s">
        <v>566</v>
      </c>
      <c r="N2" s="400" t="s">
        <v>577</v>
      </c>
      <c r="P2" s="399"/>
      <c r="Q2" s="399"/>
      <c r="AN2" s="1697" t="s">
        <v>903</v>
      </c>
    </row>
    <row r="3" spans="2:56" x14ac:dyDescent="0.25">
      <c r="P3" s="399"/>
      <c r="Q3" s="399"/>
      <c r="AN3" s="1697"/>
      <c r="AZ3" s="670"/>
    </row>
    <row r="4" spans="2:56" x14ac:dyDescent="0.25">
      <c r="P4" s="399"/>
      <c r="Q4" s="399"/>
      <c r="AN4" s="1697"/>
    </row>
    <row r="5" spans="2:56" ht="18" x14ac:dyDescent="0.25">
      <c r="E5" s="457" t="s">
        <v>540</v>
      </c>
      <c r="L5" s="377"/>
      <c r="N5" s="457" t="s">
        <v>542</v>
      </c>
      <c r="P5" s="399"/>
      <c r="Q5" s="399"/>
      <c r="V5" s="457" t="s">
        <v>543</v>
      </c>
      <c r="AD5" s="1623" t="s">
        <v>569</v>
      </c>
      <c r="AE5" s="1623"/>
      <c r="AF5" s="1623"/>
      <c r="AJ5" s="1623" t="s">
        <v>576</v>
      </c>
      <c r="AK5" s="1623"/>
      <c r="AL5" s="1623"/>
      <c r="AM5" s="1623"/>
      <c r="AU5" s="1623" t="s">
        <v>581</v>
      </c>
      <c r="AV5" s="1623"/>
      <c r="AW5" s="1623"/>
      <c r="AX5" s="1623"/>
    </row>
    <row r="6" spans="2:56" ht="15" customHeight="1" x14ac:dyDescent="0.25">
      <c r="P6" s="399"/>
      <c r="Q6" s="399"/>
    </row>
    <row r="7" spans="2:56" x14ac:dyDescent="0.25">
      <c r="C7" s="374" t="s">
        <v>513</v>
      </c>
      <c r="L7" s="400" t="s">
        <v>532</v>
      </c>
      <c r="U7" s="400" t="s">
        <v>567</v>
      </c>
      <c r="AD7" s="400" t="s">
        <v>575</v>
      </c>
      <c r="AJ7" s="400" t="s">
        <v>585</v>
      </c>
      <c r="BA7" s="670"/>
    </row>
    <row r="8" spans="2:56" x14ac:dyDescent="0.25">
      <c r="C8" s="374" t="s">
        <v>514</v>
      </c>
      <c r="L8" s="400" t="s">
        <v>533</v>
      </c>
      <c r="U8" s="400" t="s">
        <v>568</v>
      </c>
      <c r="AD8" s="400" t="s">
        <v>574</v>
      </c>
      <c r="AJ8" s="400" t="s">
        <v>589</v>
      </c>
      <c r="AZ8" s="670"/>
    </row>
    <row r="9" spans="2:56" x14ac:dyDescent="0.25">
      <c r="C9" s="374" t="s">
        <v>515</v>
      </c>
      <c r="L9" s="400" t="s">
        <v>534</v>
      </c>
      <c r="AJ9" s="400" t="s">
        <v>590</v>
      </c>
      <c r="AR9" s="112"/>
      <c r="AS9" s="400"/>
    </row>
    <row r="10" spans="2:56" x14ac:dyDescent="0.25">
      <c r="C10" s="374" t="s">
        <v>516</v>
      </c>
      <c r="AJ10" s="420" t="s">
        <v>307</v>
      </c>
      <c r="AK10" s="420"/>
      <c r="AL10" s="420"/>
      <c r="AM10" s="1698" t="s">
        <v>93</v>
      </c>
      <c r="AN10" s="1698"/>
      <c r="AO10" s="1698"/>
      <c r="AP10" s="1698"/>
      <c r="AQ10" s="1698"/>
      <c r="AR10" s="948"/>
      <c r="AS10" s="948"/>
    </row>
    <row r="11" spans="2:56" x14ac:dyDescent="0.25">
      <c r="C11" s="374" t="s">
        <v>517</v>
      </c>
      <c r="AJ11" s="420" t="s">
        <v>308</v>
      </c>
      <c r="AK11" s="420"/>
      <c r="AL11" s="420"/>
      <c r="AM11" s="1698" t="s">
        <v>98</v>
      </c>
      <c r="AN11" s="1698"/>
      <c r="AO11" s="1698"/>
      <c r="AP11" s="1698"/>
      <c r="AQ11" s="1698"/>
      <c r="AR11" s="948"/>
      <c r="AS11" s="948"/>
    </row>
    <row r="12" spans="2:56" ht="15.75" thickBot="1" x14ac:dyDescent="0.3"/>
    <row r="13" spans="2:56" ht="15.75" thickBot="1" x14ac:dyDescent="0.3">
      <c r="B13" s="409"/>
      <c r="C13" s="410"/>
      <c r="D13" s="410"/>
      <c r="E13" s="296"/>
      <c r="F13" s="296"/>
      <c r="G13" s="296"/>
      <c r="H13" s="296"/>
      <c r="I13" s="411"/>
      <c r="J13" s="399"/>
      <c r="K13" s="409"/>
      <c r="L13" s="296"/>
      <c r="M13" s="296"/>
      <c r="N13" s="296"/>
      <c r="O13" s="296"/>
      <c r="P13" s="296"/>
      <c r="Q13" s="296"/>
      <c r="R13" s="411"/>
      <c r="S13" s="399"/>
      <c r="T13" s="409"/>
      <c r="U13" s="296"/>
      <c r="V13" s="296"/>
      <c r="W13" s="296"/>
      <c r="X13" s="296"/>
      <c r="Y13" s="530"/>
      <c r="Z13" s="296"/>
      <c r="AA13" s="411"/>
      <c r="AB13" s="399"/>
      <c r="AC13" s="409"/>
      <c r="AD13" s="296"/>
      <c r="AE13" s="296"/>
      <c r="AF13" s="296"/>
      <c r="AG13" s="411"/>
      <c r="AH13" s="399"/>
      <c r="AI13" s="409"/>
      <c r="AJ13" s="296"/>
      <c r="AK13" s="296"/>
      <c r="AL13" s="296"/>
      <c r="AM13" s="296"/>
      <c r="AN13" s="296"/>
      <c r="AO13" s="530"/>
      <c r="AP13" s="296"/>
      <c r="AQ13" s="557"/>
      <c r="AU13" s="375" t="s">
        <v>193</v>
      </c>
    </row>
    <row r="14" spans="2:56" ht="20.25" customHeight="1" thickBot="1" x14ac:dyDescent="0.3">
      <c r="B14" s="412"/>
      <c r="C14" s="1651" t="s">
        <v>123</v>
      </c>
      <c r="D14" s="1652"/>
      <c r="E14" s="1653"/>
      <c r="F14" s="1654" t="s">
        <v>319</v>
      </c>
      <c r="G14" s="1655"/>
      <c r="H14" s="1656"/>
      <c r="I14" s="413"/>
      <c r="J14" s="399"/>
      <c r="K14" s="412"/>
      <c r="L14" s="467" t="s">
        <v>535</v>
      </c>
      <c r="M14" s="468"/>
      <c r="N14" s="487"/>
      <c r="O14" s="1654" t="s">
        <v>319</v>
      </c>
      <c r="P14" s="1655"/>
      <c r="Q14" s="1656"/>
      <c r="R14" s="413"/>
      <c r="T14" s="412"/>
      <c r="U14" s="1635" t="s">
        <v>262</v>
      </c>
      <c r="V14" s="1636"/>
      <c r="W14" s="1637"/>
      <c r="X14" s="1638" t="s">
        <v>544</v>
      </c>
      <c r="Y14" s="1639"/>
      <c r="Z14" s="1640"/>
      <c r="AA14" s="413"/>
      <c r="AB14" s="399"/>
      <c r="AC14" s="412"/>
      <c r="AD14" s="1630" t="s">
        <v>586</v>
      </c>
      <c r="AE14" s="1631"/>
      <c r="AF14" s="1632"/>
      <c r="AG14" s="413"/>
      <c r="AI14" s="412"/>
      <c r="AJ14" s="276"/>
      <c r="AK14" s="276"/>
      <c r="AL14" s="276"/>
      <c r="AM14" s="276"/>
      <c r="AN14" s="276"/>
      <c r="AO14" s="276"/>
      <c r="AP14" s="276"/>
      <c r="AQ14" s="558"/>
      <c r="AU14" s="1712" t="s">
        <v>505</v>
      </c>
      <c r="AV14" s="1713"/>
      <c r="AW14" s="1713"/>
      <c r="AX14" s="1713"/>
      <c r="AY14" s="1714"/>
      <c r="AZ14" s="587"/>
      <c r="BA14" s="580" t="s">
        <v>139</v>
      </c>
      <c r="BB14" s="580" t="s">
        <v>520</v>
      </c>
      <c r="BC14" s="580"/>
      <c r="BD14" s="588"/>
    </row>
    <row r="15" spans="2:56" ht="45" customHeight="1" thickBot="1" x14ac:dyDescent="0.3">
      <c r="B15" s="412"/>
      <c r="C15" s="451" t="s">
        <v>512</v>
      </c>
      <c r="D15" s="450"/>
      <c r="E15" s="486" t="s">
        <v>630</v>
      </c>
      <c r="F15" s="747" t="s">
        <v>522</v>
      </c>
      <c r="G15" s="745" t="s">
        <v>523</v>
      </c>
      <c r="H15" s="444" t="s">
        <v>524</v>
      </c>
      <c r="I15" s="413"/>
      <c r="J15" s="399"/>
      <c r="K15" s="412"/>
      <c r="L15" s="1670" t="s">
        <v>536</v>
      </c>
      <c r="M15" s="1671"/>
      <c r="N15" s="1666" t="s">
        <v>628</v>
      </c>
      <c r="O15" s="1668" t="s">
        <v>522</v>
      </c>
      <c r="P15" s="1702" t="s">
        <v>523</v>
      </c>
      <c r="Q15" s="1704" t="s">
        <v>524</v>
      </c>
      <c r="R15" s="413"/>
      <c r="T15" s="412"/>
      <c r="U15" s="488" t="s">
        <v>958</v>
      </c>
      <c r="V15" s="489"/>
      <c r="W15" s="490" t="s">
        <v>172</v>
      </c>
      <c r="X15" s="1710" t="s">
        <v>545</v>
      </c>
      <c r="Y15" s="1708" t="s">
        <v>546</v>
      </c>
      <c r="Z15" s="1706" t="s">
        <v>547</v>
      </c>
      <c r="AA15" s="413"/>
      <c r="AB15" s="399"/>
      <c r="AC15" s="417"/>
      <c r="AD15" s="418"/>
      <c r="AE15" s="418"/>
      <c r="AF15" s="418"/>
      <c r="AG15" s="419"/>
      <c r="AI15" s="412"/>
      <c r="AJ15" s="1672" t="s">
        <v>20</v>
      </c>
      <c r="AK15" s="1672"/>
      <c r="AL15" s="276"/>
      <c r="AM15" s="276"/>
      <c r="AN15" s="507"/>
      <c r="AO15" s="507"/>
      <c r="AP15" s="276"/>
      <c r="AQ15" s="558"/>
      <c r="AU15" s="592" t="s">
        <v>144</v>
      </c>
      <c r="AV15" s="580" t="s">
        <v>129</v>
      </c>
      <c r="AW15" s="580" t="s">
        <v>130</v>
      </c>
      <c r="AX15" s="581" t="s">
        <v>131</v>
      </c>
      <c r="AY15" s="589" t="s">
        <v>141</v>
      </c>
      <c r="AZ15" s="590" t="s">
        <v>519</v>
      </c>
      <c r="BA15" s="407"/>
      <c r="BB15" s="407"/>
      <c r="BC15" s="407"/>
      <c r="BD15" s="408" t="s">
        <v>142</v>
      </c>
    </row>
    <row r="16" spans="2:56" ht="27.95" customHeight="1" thickBot="1" x14ac:dyDescent="0.3">
      <c r="B16" s="412"/>
      <c r="C16" s="1547" t="s">
        <v>132</v>
      </c>
      <c r="D16" s="463"/>
      <c r="E16" s="1549"/>
      <c r="F16" s="476">
        <f>E16*Milchverarbeitung!AY17/1000</f>
        <v>0</v>
      </c>
      <c r="G16" s="477">
        <f>E16*Milchverarbeitung!AY18/1000</f>
        <v>0</v>
      </c>
      <c r="H16" s="478">
        <f>E16*Milchverarbeitung!AY16/1000</f>
        <v>0</v>
      </c>
      <c r="I16" s="413"/>
      <c r="J16" s="399"/>
      <c r="K16" s="412"/>
      <c r="L16" s="1657" t="s">
        <v>55</v>
      </c>
      <c r="M16" s="1658"/>
      <c r="N16" s="1667"/>
      <c r="O16" s="1669"/>
      <c r="P16" s="1703"/>
      <c r="Q16" s="1705"/>
      <c r="R16" s="413"/>
      <c r="T16" s="412"/>
      <c r="U16" s="504" t="s">
        <v>55</v>
      </c>
      <c r="V16" s="498"/>
      <c r="W16" s="491" t="s">
        <v>518</v>
      </c>
      <c r="X16" s="1711"/>
      <c r="Y16" s="1709"/>
      <c r="Z16" s="1707"/>
      <c r="AA16" s="531"/>
      <c r="AB16" s="442"/>
      <c r="AC16" s="536"/>
      <c r="AD16" s="537"/>
      <c r="AE16" s="537"/>
      <c r="AF16" s="537"/>
      <c r="AG16" s="411"/>
      <c r="AI16" s="412"/>
      <c r="AJ16" s="1672"/>
      <c r="AK16" s="1672"/>
      <c r="AL16" s="276"/>
      <c r="AM16" s="276"/>
      <c r="AN16" s="276"/>
      <c r="AO16" s="276"/>
      <c r="AP16" s="276"/>
      <c r="AQ16" s="558"/>
      <c r="AU16" s="593" t="s">
        <v>127</v>
      </c>
      <c r="AV16" s="407">
        <v>1</v>
      </c>
      <c r="AW16" s="407">
        <v>2</v>
      </c>
      <c r="AX16" s="544">
        <v>1.2</v>
      </c>
      <c r="AY16" s="448">
        <f>IF((BD16*BA16+BB16)&lt;AV16,1,BD16*BA16+BB16)</f>
        <v>1.79</v>
      </c>
      <c r="AZ16" s="36">
        <v>8.1629999999999996E-6</v>
      </c>
      <c r="BA16" s="46">
        <v>-5.9800000000000001E-3</v>
      </c>
      <c r="BB16" s="46">
        <v>1.79</v>
      </c>
      <c r="BC16" s="407"/>
      <c r="BD16" s="583">
        <f>E16/1000000</f>
        <v>0</v>
      </c>
    </row>
    <row r="17" spans="2:61" ht="27.95" customHeight="1" x14ac:dyDescent="0.25">
      <c r="B17" s="412"/>
      <c r="C17" s="1663" t="s">
        <v>551</v>
      </c>
      <c r="D17" s="1664"/>
      <c r="E17" s="1665"/>
      <c r="F17" s="1550"/>
      <c r="G17" s="1551"/>
      <c r="H17" s="1552"/>
      <c r="I17" s="413"/>
      <c r="J17" s="399"/>
      <c r="K17" s="412"/>
      <c r="L17" s="1659" t="s">
        <v>54</v>
      </c>
      <c r="M17" s="1660"/>
      <c r="N17" s="1553"/>
      <c r="O17" s="470">
        <f>$N17*Milchverarbeitung!AV37/1000</f>
        <v>0</v>
      </c>
      <c r="P17" s="471">
        <f>$N17*Milchverarbeitung!AW37/1000</f>
        <v>0</v>
      </c>
      <c r="Q17" s="472">
        <f>$N17*Milchverarbeitung!AX37/1000</f>
        <v>0</v>
      </c>
      <c r="R17" s="413"/>
      <c r="T17" s="412"/>
      <c r="U17" s="501" t="str">
        <f>Milchverarbeitung!AZ39</f>
        <v>Trinkmilch</v>
      </c>
      <c r="V17" s="499"/>
      <c r="W17" s="1553"/>
      <c r="X17" s="426" t="s">
        <v>426</v>
      </c>
      <c r="Y17" s="427"/>
      <c r="Z17" s="493">
        <f>W17*Milchverarbeitung!BA39/1000</f>
        <v>0</v>
      </c>
      <c r="AA17" s="413"/>
      <c r="AB17" s="399"/>
      <c r="AC17" s="412"/>
      <c r="AD17" s="1626" t="s">
        <v>570</v>
      </c>
      <c r="AE17" s="1627"/>
      <c r="AF17" s="701">
        <f>IF(IF(P43&gt;0,P43,G25)&lt;0,0,IF(P43&gt;0,P43,G25))</f>
        <v>0</v>
      </c>
      <c r="AG17" s="413"/>
      <c r="AI17" s="412"/>
      <c r="AJ17" s="1672"/>
      <c r="AK17" s="1672"/>
      <c r="AL17" s="276"/>
      <c r="AM17" s="276"/>
      <c r="AN17" s="276"/>
      <c r="AO17" s="276"/>
      <c r="AP17" s="276"/>
      <c r="AQ17" s="413"/>
      <c r="AU17" s="593" t="s">
        <v>126</v>
      </c>
      <c r="AV17" s="407">
        <v>0.6</v>
      </c>
      <c r="AW17" s="407">
        <v>3</v>
      </c>
      <c r="AX17" s="544">
        <v>1.99</v>
      </c>
      <c r="AY17" s="448">
        <f>IF((BD17*AZ17*AZ17+BD17*BA17+BB17)&lt;AV17,AV17,BD17*AZ17*AZ17+BD17*BA17+BB17)</f>
        <v>1.754</v>
      </c>
      <c r="AZ17" s="36">
        <v>1.0200000000000001E-5</v>
      </c>
      <c r="BA17" s="46">
        <v>-6.9499999999999996E-3</v>
      </c>
      <c r="BB17" s="46">
        <v>1.754</v>
      </c>
      <c r="BC17" s="407"/>
      <c r="BD17" s="583">
        <f>E16/1000000</f>
        <v>0</v>
      </c>
    </row>
    <row r="18" spans="2:61" ht="27.95" customHeight="1" thickBot="1" x14ac:dyDescent="0.3">
      <c r="B18" s="412"/>
      <c r="C18" s="825" t="s">
        <v>125</v>
      </c>
      <c r="D18" s="746"/>
      <c r="E18" s="746"/>
      <c r="F18" s="516" t="e">
        <f>F17/F16</f>
        <v>#DIV/0!</v>
      </c>
      <c r="G18" s="517" t="e">
        <f>G17/G16</f>
        <v>#DIV/0!</v>
      </c>
      <c r="H18" s="518" t="e">
        <f>H17/H16</f>
        <v>#DIV/0!</v>
      </c>
      <c r="I18" s="413"/>
      <c r="J18" s="399"/>
      <c r="K18" s="412"/>
      <c r="L18" s="1661" t="s">
        <v>626</v>
      </c>
      <c r="M18" s="1662"/>
      <c r="N18" s="1554"/>
      <c r="O18" s="473">
        <f>$N18/$BG$24*Milchverarbeitung!AV38/1000</f>
        <v>0</v>
      </c>
      <c r="P18" s="474">
        <f>$N18/$BG$24*Milchverarbeitung!AW38/1000</f>
        <v>0</v>
      </c>
      <c r="Q18" s="475">
        <f>$N18/$BG$24*Milchverarbeitung!AX38/1000</f>
        <v>0</v>
      </c>
      <c r="R18" s="413"/>
      <c r="T18" s="412"/>
      <c r="U18" s="502" t="str">
        <f>Milchverarbeitung!AZ40</f>
        <v>UHT-Milch</v>
      </c>
      <c r="V18" s="500"/>
      <c r="W18" s="1554"/>
      <c r="X18" s="426"/>
      <c r="Y18" s="427"/>
      <c r="Z18" s="494">
        <f>W18*Milchverarbeitung!BA40/1000</f>
        <v>0</v>
      </c>
      <c r="AA18" s="413"/>
      <c r="AB18" s="399"/>
      <c r="AC18" s="412"/>
      <c r="AD18" s="1633" t="s">
        <v>747</v>
      </c>
      <c r="AE18" s="1634"/>
      <c r="AF18" s="702">
        <f>IF(IF(P44&gt;0,P44,G26)&lt;0,0,IF(P44&gt;0,P44,G26))</f>
        <v>0</v>
      </c>
      <c r="AG18" s="413"/>
      <c r="AI18" s="412"/>
      <c r="AJ18" s="420"/>
      <c r="AK18" s="433"/>
      <c r="AL18" s="276"/>
      <c r="AM18" s="276"/>
      <c r="AN18" s="276"/>
      <c r="AO18" s="276"/>
      <c r="AP18" s="276"/>
      <c r="AQ18" s="413"/>
      <c r="AU18" s="594" t="s">
        <v>128</v>
      </c>
      <c r="AV18" s="391">
        <v>0.8</v>
      </c>
      <c r="AW18" s="391">
        <v>4</v>
      </c>
      <c r="AX18" s="585">
        <v>3.28</v>
      </c>
      <c r="AY18" s="448">
        <f>IF((BD18*AZ18*AZ18+BD18*BA18+BB18)&lt;AV18,AV18,BD18*AZ18*AZ18+BD18*BA18+BB18)</f>
        <v>2.5207999999999999</v>
      </c>
      <c r="AZ18" s="39"/>
      <c r="BA18" s="47">
        <v>-4.7429999999999998E-3</v>
      </c>
      <c r="BB18" s="47">
        <v>2.5207999999999999</v>
      </c>
      <c r="BC18" s="391"/>
      <c r="BD18" s="586">
        <f>E16/1000000</f>
        <v>0</v>
      </c>
    </row>
    <row r="19" spans="2:61" ht="27.95" customHeight="1" thickBot="1" x14ac:dyDescent="0.3">
      <c r="B19" s="412"/>
      <c r="C19" s="829" t="s">
        <v>124</v>
      </c>
      <c r="D19" s="480"/>
      <c r="E19" s="480"/>
      <c r="F19" s="445" t="e">
        <f>IF(F18&gt;0,IF(F18&lt;=Gut,"gut",IF(F18&lt;=Potential,"Potential","Bedarf")),"")</f>
        <v>#DIV/0!</v>
      </c>
      <c r="G19" s="446" t="e">
        <f>IF(G18&gt;0,IF(G18&lt;=Gut,"gut",IF(G18&lt;=Potential,"Potential","Bedarf")),"")</f>
        <v>#DIV/0!</v>
      </c>
      <c r="H19" s="447" t="e">
        <f>IF(H18&gt;0,IF(H18&lt;=Gut,"gut",IF(H18&lt;=Potential,"Potential","Bedarf")),"")</f>
        <v>#DIV/0!</v>
      </c>
      <c r="I19" s="413"/>
      <c r="J19" s="399"/>
      <c r="K19" s="412"/>
      <c r="L19" s="1661" t="s">
        <v>627</v>
      </c>
      <c r="M19" s="1662"/>
      <c r="N19" s="1554"/>
      <c r="O19" s="473">
        <f>$N19/$BG$24*Milchverarbeitung!AV39/1000</f>
        <v>0</v>
      </c>
      <c r="P19" s="474">
        <f>$N19/$BG$24*Milchverarbeitung!AW39/1000</f>
        <v>0</v>
      </c>
      <c r="Q19" s="475">
        <f>$N19/$BG$24*Milchverarbeitung!AX39/1000</f>
        <v>0</v>
      </c>
      <c r="R19" s="413"/>
      <c r="T19" s="412"/>
      <c r="U19" s="502" t="s">
        <v>554</v>
      </c>
      <c r="V19" s="500"/>
      <c r="W19" s="1554"/>
      <c r="X19" s="426"/>
      <c r="Y19" s="427"/>
      <c r="Z19" s="494">
        <f>W19*Milchverarbeitung!BA41/1000</f>
        <v>0</v>
      </c>
      <c r="AA19" s="413"/>
      <c r="AB19" s="399"/>
      <c r="AC19" s="412"/>
      <c r="AD19" s="1628" t="s">
        <v>1002</v>
      </c>
      <c r="AE19" s="1629"/>
      <c r="AF19" s="702">
        <f>IF(IF(P46&gt;0,P46,G28)&lt;0,0,IF(P46&gt;0,P46,G28))</f>
        <v>0</v>
      </c>
      <c r="AG19" s="413"/>
      <c r="AI19" s="412"/>
      <c r="AJ19" s="433" t="s">
        <v>109</v>
      </c>
      <c r="AK19" s="276"/>
      <c r="AL19" s="276"/>
      <c r="AM19" s="276"/>
      <c r="AN19" s="276"/>
      <c r="AO19" s="276"/>
      <c r="AP19" s="276"/>
      <c r="AQ19" s="413"/>
    </row>
    <row r="20" spans="2:61" ht="27.95" customHeight="1" x14ac:dyDescent="0.25">
      <c r="B20" s="412"/>
      <c r="C20" s="276"/>
      <c r="D20" s="276"/>
      <c r="E20" s="276"/>
      <c r="F20" s="276"/>
      <c r="G20" s="276"/>
      <c r="H20" s="276"/>
      <c r="I20" s="413"/>
      <c r="J20" s="399"/>
      <c r="K20" s="412"/>
      <c r="L20" s="1661" t="str">
        <f>Milchverarbeitung!AU40</f>
        <v>Frischprodukte wie Joghurt, Frischkäse</v>
      </c>
      <c r="M20" s="1662"/>
      <c r="N20" s="1554"/>
      <c r="O20" s="473">
        <f>$N20*Milchverarbeitung!AV40/1000</f>
        <v>0</v>
      </c>
      <c r="P20" s="474">
        <f>$N20*Milchverarbeitung!AW40/1000</f>
        <v>0</v>
      </c>
      <c r="Q20" s="475">
        <f>$N20*Milchverarbeitung!AX40/1000</f>
        <v>0</v>
      </c>
      <c r="R20" s="413"/>
      <c r="T20" s="412"/>
      <c r="U20" s="502" t="str">
        <f>Milchverarbeitung!AZ42</f>
        <v>Butter</v>
      </c>
      <c r="V20" s="500"/>
      <c r="W20" s="1554"/>
      <c r="X20" s="426"/>
      <c r="Y20" s="427"/>
      <c r="Z20" s="494">
        <f>W20*Milchverarbeitung!BA42/1000</f>
        <v>0</v>
      </c>
      <c r="AA20" s="413"/>
      <c r="AB20" s="399"/>
      <c r="AC20" s="412"/>
      <c r="AD20" s="740" t="s">
        <v>571</v>
      </c>
      <c r="AE20" s="741"/>
      <c r="AF20" s="703">
        <f>IF(Y43&lt;0,0,Y43)</f>
        <v>0</v>
      </c>
      <c r="AG20" s="413"/>
      <c r="AI20" s="412"/>
      <c r="AJ20" s="276" t="s">
        <v>147</v>
      </c>
      <c r="AK20" s="276"/>
      <c r="AL20" s="276"/>
      <c r="AM20" s="276"/>
      <c r="AN20" s="276"/>
      <c r="AO20" s="276"/>
      <c r="AP20" s="276"/>
      <c r="AQ20" s="413"/>
      <c r="AU20" s="377"/>
    </row>
    <row r="21" spans="2:61" ht="27.95" customHeight="1" thickBot="1" x14ac:dyDescent="0.3">
      <c r="B21" s="412"/>
      <c r="C21" s="452" t="s">
        <v>525</v>
      </c>
      <c r="D21" s="452"/>
      <c r="E21" s="452"/>
      <c r="F21" s="452"/>
      <c r="G21" s="1350" t="str">
        <f>IF(E16&gt;0,IF(F17&gt;0,F17/AV24*1000,IF(G17&gt;0,G17/AV25*1000,""))/E16,"")</f>
        <v/>
      </c>
      <c r="H21" s="452" t="s">
        <v>526</v>
      </c>
      <c r="I21" s="413"/>
      <c r="J21" s="399"/>
      <c r="K21" s="412"/>
      <c r="L21" s="1661" t="str">
        <f>Milchverarbeitung!AU41</f>
        <v>Weichkäse</v>
      </c>
      <c r="M21" s="1662"/>
      <c r="N21" s="1554"/>
      <c r="O21" s="473">
        <f>$N21*Milchverarbeitung!AV41/1000</f>
        <v>0</v>
      </c>
      <c r="P21" s="474">
        <f>$N21*Milchverarbeitung!AW41/1000</f>
        <v>0</v>
      </c>
      <c r="Q21" s="475">
        <f>$N21*Milchverarbeitung!AX41/1000</f>
        <v>0</v>
      </c>
      <c r="R21" s="413"/>
      <c r="T21" s="412"/>
      <c r="U21" s="502" t="str">
        <f>Milchverarbeitung!AZ43</f>
        <v>Hartkäse</v>
      </c>
      <c r="V21" s="500"/>
      <c r="W21" s="1554"/>
      <c r="X21" s="428"/>
      <c r="Y21" s="429"/>
      <c r="Z21" s="494">
        <f>W21*Milchverarbeitung!BA43/1000</f>
        <v>0</v>
      </c>
      <c r="AA21" s="413"/>
      <c r="AB21" s="399"/>
      <c r="AC21" s="412"/>
      <c r="AD21" s="742" t="s">
        <v>572</v>
      </c>
      <c r="AE21" s="743"/>
      <c r="AF21" s="704">
        <f>IF(Y44&lt;0,0,Y44)</f>
        <v>0</v>
      </c>
      <c r="AG21" s="413"/>
      <c r="AI21" s="412"/>
      <c r="AJ21" s="276" t="s">
        <v>110</v>
      </c>
      <c r="AK21" s="276"/>
      <c r="AL21" s="276"/>
      <c r="AM21" s="276"/>
      <c r="AN21" s="276"/>
      <c r="AO21" s="276"/>
      <c r="AP21" s="276"/>
      <c r="AQ21" s="413"/>
      <c r="AU21" s="377"/>
      <c r="BE21" s="378"/>
      <c r="BF21" s="378"/>
      <c r="BG21" s="378"/>
    </row>
    <row r="22" spans="2:61" ht="27.95" customHeight="1" thickBot="1" x14ac:dyDescent="0.3">
      <c r="B22" s="412"/>
      <c r="C22" s="452" t="s">
        <v>527</v>
      </c>
      <c r="D22" s="452"/>
      <c r="E22" s="452"/>
      <c r="F22" s="452"/>
      <c r="G22" s="276"/>
      <c r="H22" s="276"/>
      <c r="I22" s="413"/>
      <c r="J22" s="399"/>
      <c r="K22" s="412"/>
      <c r="L22" s="1661" t="str">
        <f>Milchverarbeitung!AU42</f>
        <v>Schnittkäse</v>
      </c>
      <c r="M22" s="1662"/>
      <c r="N22" s="1554"/>
      <c r="O22" s="473">
        <f>$N22*Milchverarbeitung!AV42/1000</f>
        <v>0</v>
      </c>
      <c r="P22" s="474">
        <f>$N22*Milchverarbeitung!AW42/1000</f>
        <v>0</v>
      </c>
      <c r="Q22" s="475">
        <f>$N22*Milchverarbeitung!AX42/1000</f>
        <v>0</v>
      </c>
      <c r="R22" s="413"/>
      <c r="T22" s="412"/>
      <c r="U22" s="502" t="str">
        <f>Milchverarbeitung!AZ44</f>
        <v>Kondensmilch *</v>
      </c>
      <c r="V22" s="500"/>
      <c r="W22" s="1554"/>
      <c r="X22" s="496">
        <f>W22*Milchverarbeitung!BB44/1000</f>
        <v>0</v>
      </c>
      <c r="Y22" s="497">
        <f>W22*Milchverarbeitung!BD44/1000</f>
        <v>0</v>
      </c>
      <c r="Z22" s="494">
        <f>W22*Milchverarbeitung!BA44/1000</f>
        <v>0</v>
      </c>
      <c r="AA22" s="413"/>
      <c r="AB22" s="399"/>
      <c r="AC22" s="412"/>
      <c r="AD22" s="1293" t="s">
        <v>573</v>
      </c>
      <c r="AE22" s="875"/>
      <c r="AF22" s="1351">
        <f>AF17+AF19+AF20+AF21</f>
        <v>0</v>
      </c>
      <c r="AG22" s="413"/>
      <c r="AI22" s="412"/>
      <c r="AJ22" s="276" t="s">
        <v>111</v>
      </c>
      <c r="AK22" s="276"/>
      <c r="AL22" s="276"/>
      <c r="AM22" s="276"/>
      <c r="AN22" s="276"/>
      <c r="AO22" s="276"/>
      <c r="AP22" s="276"/>
      <c r="AQ22" s="413"/>
      <c r="AU22" s="379" t="s">
        <v>507</v>
      </c>
      <c r="AV22" s="380"/>
      <c r="AW22" s="380"/>
      <c r="AX22" s="380"/>
      <c r="AY22" s="380"/>
      <c r="AZ22" s="380"/>
      <c r="BA22" s="380"/>
      <c r="BB22" s="380"/>
      <c r="BC22" s="380"/>
      <c r="BD22" s="381"/>
      <c r="BE22" s="382"/>
      <c r="BF22" s="383" t="s">
        <v>103</v>
      </c>
      <c r="BG22" s="384"/>
    </row>
    <row r="23" spans="2:61" ht="27.95" customHeight="1" thickBot="1" x14ac:dyDescent="0.3">
      <c r="B23" s="412"/>
      <c r="C23" s="276"/>
      <c r="D23" s="276"/>
      <c r="E23" s="276"/>
      <c r="F23" s="276"/>
      <c r="G23" s="276"/>
      <c r="H23" s="276"/>
      <c r="I23" s="413"/>
      <c r="J23" s="399"/>
      <c r="K23" s="412"/>
      <c r="L23" s="1661" t="str">
        <f>Milchverarbeitung!AU43</f>
        <v>Hartkäse</v>
      </c>
      <c r="M23" s="1662"/>
      <c r="N23" s="1554"/>
      <c r="O23" s="473">
        <f>$N23*Milchverarbeitung!AV43/1000</f>
        <v>0</v>
      </c>
      <c r="P23" s="474">
        <f>$N23*Milchverarbeitung!AW43/1000</f>
        <v>0</v>
      </c>
      <c r="Q23" s="475">
        <f>$N23*Milchverarbeitung!AX43/1000</f>
        <v>0</v>
      </c>
      <c r="R23" s="413"/>
      <c r="T23" s="412"/>
      <c r="U23" s="502" t="str">
        <f>Milchverarbeitung!AZ45</f>
        <v>Magermilchpulver *</v>
      </c>
      <c r="V23" s="500"/>
      <c r="W23" s="1554"/>
      <c r="X23" s="496">
        <f>W23*Milchverarbeitung!BB45/1000</f>
        <v>0</v>
      </c>
      <c r="Y23" s="497">
        <f>W23*Milchverarbeitung!BD45/1000</f>
        <v>0</v>
      </c>
      <c r="Z23" s="494">
        <f>W23*Milchverarbeitung!BA45/1000</f>
        <v>0</v>
      </c>
      <c r="AA23" s="413"/>
      <c r="AB23" s="399"/>
      <c r="AC23" s="412"/>
      <c r="AD23" s="872" t="s">
        <v>748</v>
      </c>
      <c r="AE23" s="744"/>
      <c r="AF23" s="1352">
        <f>AF18+AF19+AF20+AF21</f>
        <v>0</v>
      </c>
      <c r="AG23" s="413"/>
      <c r="AI23" s="412"/>
      <c r="AJ23" s="276"/>
      <c r="AK23" s="276"/>
      <c r="AL23" s="276"/>
      <c r="AM23" s="276"/>
      <c r="AN23" s="276"/>
      <c r="AO23" s="276"/>
      <c r="AP23" s="276"/>
      <c r="AQ23" s="413"/>
      <c r="AU23" s="595"/>
      <c r="AV23" s="580" t="s">
        <v>28</v>
      </c>
      <c r="AW23" s="580" t="s">
        <v>29</v>
      </c>
      <c r="AX23" s="580" t="s">
        <v>49</v>
      </c>
      <c r="AY23" s="580" t="s">
        <v>30</v>
      </c>
      <c r="AZ23" s="580" t="s">
        <v>31</v>
      </c>
      <c r="BA23" s="580" t="s">
        <v>32</v>
      </c>
      <c r="BB23" s="580" t="s">
        <v>33</v>
      </c>
      <c r="BC23" s="580" t="s">
        <v>34</v>
      </c>
      <c r="BD23" s="588" t="s">
        <v>35</v>
      </c>
      <c r="BE23" s="378"/>
      <c r="BF23" s="596" t="s">
        <v>55</v>
      </c>
      <c r="BG23" s="597" t="s">
        <v>104</v>
      </c>
    </row>
    <row r="24" spans="2:61" s="400" customFormat="1" ht="27.95" customHeight="1" thickBot="1" x14ac:dyDescent="0.3">
      <c r="B24" s="412"/>
      <c r="C24" s="449" t="s">
        <v>745</v>
      </c>
      <c r="D24" s="449"/>
      <c r="E24" s="276"/>
      <c r="F24" s="276"/>
      <c r="G24" s="276"/>
      <c r="H24" s="1596" t="s">
        <v>1243</v>
      </c>
      <c r="I24" s="413"/>
      <c r="J24" s="399"/>
      <c r="K24" s="412"/>
      <c r="L24" s="1661" t="s">
        <v>510</v>
      </c>
      <c r="M24" s="1662"/>
      <c r="N24" s="1554"/>
      <c r="O24" s="473">
        <f>$N24*Milchverarbeitung!AV44/1000</f>
        <v>0</v>
      </c>
      <c r="P24" s="474">
        <f>$N24*Milchverarbeitung!AW44/1000</f>
        <v>0</v>
      </c>
      <c r="Q24" s="475">
        <f>$N24*Milchverarbeitung!AX44/1000</f>
        <v>0</v>
      </c>
      <c r="R24" s="413"/>
      <c r="T24" s="412"/>
      <c r="U24" s="503" t="str">
        <f>Milchverarbeitung!AZ46</f>
        <v>Vollmilchpulver *</v>
      </c>
      <c r="V24" s="492"/>
      <c r="W24" s="1556"/>
      <c r="X24" s="748">
        <f>W24*Milchverarbeitung!BB46/1000</f>
        <v>0</v>
      </c>
      <c r="Y24" s="749">
        <f>W24*Milchverarbeitung!BD46/1000</f>
        <v>0</v>
      </c>
      <c r="Z24" s="750">
        <f>W24*Milchverarbeitung!BA46/1000</f>
        <v>0</v>
      </c>
      <c r="AA24" s="413"/>
      <c r="AB24" s="399"/>
      <c r="AC24" s="417"/>
      <c r="AD24" s="418"/>
      <c r="AE24" s="418"/>
      <c r="AF24" s="418"/>
      <c r="AG24" s="419"/>
      <c r="AI24" s="412"/>
      <c r="AJ24" s="434"/>
      <c r="AK24" s="276"/>
      <c r="AL24" s="434"/>
      <c r="AM24" s="435"/>
      <c r="AN24" s="436"/>
      <c r="AO24" s="436"/>
      <c r="AP24" s="436"/>
      <c r="AQ24" s="413"/>
      <c r="AR24" s="112"/>
      <c r="AU24" s="593" t="s">
        <v>36</v>
      </c>
      <c r="AV24" s="407">
        <v>114</v>
      </c>
      <c r="AW24" s="407">
        <v>90</v>
      </c>
      <c r="AX24" s="407">
        <v>61</v>
      </c>
      <c r="AY24" s="407">
        <v>400</v>
      </c>
      <c r="AZ24" s="407">
        <v>271</v>
      </c>
      <c r="BA24" s="407">
        <v>42</v>
      </c>
      <c r="BB24" s="407">
        <v>35</v>
      </c>
      <c r="BC24" s="407">
        <v>700</v>
      </c>
      <c r="BD24" s="408">
        <v>600</v>
      </c>
      <c r="BE24" s="378"/>
      <c r="BF24" s="579" t="s">
        <v>88</v>
      </c>
      <c r="BG24" s="588">
        <v>21.9</v>
      </c>
      <c r="BH24" s="111"/>
      <c r="BI24" s="399"/>
    </row>
    <row r="25" spans="2:61" s="400" customFormat="1" ht="27.95" customHeight="1" x14ac:dyDescent="0.25">
      <c r="B25" s="412"/>
      <c r="C25" s="452" t="s">
        <v>521</v>
      </c>
      <c r="D25" s="452"/>
      <c r="E25" s="456">
        <f>IF(E16&gt;0,H17-H16,0)</f>
        <v>0</v>
      </c>
      <c r="F25" s="719" t="s">
        <v>529</v>
      </c>
      <c r="G25" s="456">
        <f>IF(E16&gt;0,E25*H25,0)</f>
        <v>0</v>
      </c>
      <c r="H25" s="1599">
        <v>4</v>
      </c>
      <c r="I25" s="413"/>
      <c r="J25" s="399"/>
      <c r="K25" s="412"/>
      <c r="L25" s="1661" t="str">
        <f>Milchverarbeitung!AU45</f>
        <v>Kondensmilch</v>
      </c>
      <c r="M25" s="1662"/>
      <c r="N25" s="1554"/>
      <c r="O25" s="473">
        <f>$N25*Milchverarbeitung!AV45/1000</f>
        <v>0</v>
      </c>
      <c r="P25" s="474">
        <f>$N25*Milchverarbeitung!AW45/1000</f>
        <v>0</v>
      </c>
      <c r="Q25" s="475">
        <f>$N25*Milchverarbeitung!AX45/1000</f>
        <v>0</v>
      </c>
      <c r="R25" s="413"/>
      <c r="T25" s="412"/>
      <c r="U25" s="1673" t="s">
        <v>635</v>
      </c>
      <c r="V25" s="1674"/>
      <c r="W25" s="1641"/>
      <c r="X25" s="1643"/>
      <c r="Y25" s="1644"/>
      <c r="Z25" s="1647">
        <f>W25*BC51/1000</f>
        <v>0</v>
      </c>
      <c r="AA25" s="413"/>
      <c r="AB25" s="399"/>
      <c r="AC25" s="399"/>
      <c r="AD25" s="399"/>
      <c r="AE25" s="399"/>
      <c r="AF25" s="399"/>
      <c r="AI25" s="412"/>
      <c r="AJ25" s="1683" t="s">
        <v>75</v>
      </c>
      <c r="AK25" s="1683"/>
      <c r="AL25" s="1683"/>
      <c r="AM25" s="1683"/>
      <c r="AN25" s="1683"/>
      <c r="AO25" s="541" t="s">
        <v>578</v>
      </c>
      <c r="AP25" s="296"/>
      <c r="AQ25" s="413"/>
      <c r="AR25" s="112"/>
      <c r="AU25" s="593" t="s">
        <v>37</v>
      </c>
      <c r="AV25" s="407">
        <v>183</v>
      </c>
      <c r="AW25" s="407">
        <v>147</v>
      </c>
      <c r="AX25" s="407">
        <v>134</v>
      </c>
      <c r="AY25" s="407">
        <v>750</v>
      </c>
      <c r="AZ25" s="407">
        <v>378</v>
      </c>
      <c r="BA25" s="407">
        <v>65</v>
      </c>
      <c r="BB25" s="407">
        <v>60</v>
      </c>
      <c r="BC25" s="407">
        <v>950</v>
      </c>
      <c r="BD25" s="408"/>
      <c r="BE25" s="378"/>
      <c r="BF25" s="582" t="s">
        <v>105</v>
      </c>
      <c r="BG25" s="408">
        <v>5.5</v>
      </c>
      <c r="BH25" s="111"/>
      <c r="BI25" s="399"/>
    </row>
    <row r="26" spans="2:61" s="400" customFormat="1" ht="27.95" customHeight="1" thickBot="1" x14ac:dyDescent="0.3">
      <c r="B26" s="412"/>
      <c r="C26" s="276"/>
      <c r="D26" s="722"/>
      <c r="E26" s="722" t="s">
        <v>746</v>
      </c>
      <c r="F26" s="276"/>
      <c r="G26" s="456">
        <f>IF(E16&gt;0,((H17*G46)-(H16*G47))*H25,0)</f>
        <v>0</v>
      </c>
      <c r="H26" s="452"/>
      <c r="I26" s="413"/>
      <c r="J26" s="399"/>
      <c r="K26" s="412"/>
      <c r="L26" s="1661" t="str">
        <f>Milchverarbeitung!AU46</f>
        <v>Milchpulver Sprühverfahren</v>
      </c>
      <c r="M26" s="1662"/>
      <c r="N26" s="1554"/>
      <c r="O26" s="473">
        <f>$N26*Milchverarbeitung!AV46/1000</f>
        <v>0</v>
      </c>
      <c r="P26" s="474">
        <f>$N26*Milchverarbeitung!AW46/1000</f>
        <v>0</v>
      </c>
      <c r="Q26" s="475">
        <f>$N26*Milchverarbeitung!AX46/1000</f>
        <v>0</v>
      </c>
      <c r="R26" s="413"/>
      <c r="T26" s="412"/>
      <c r="U26" s="1675"/>
      <c r="V26" s="1676"/>
      <c r="W26" s="1642"/>
      <c r="X26" s="1645"/>
      <c r="Y26" s="1646"/>
      <c r="Z26" s="1648"/>
      <c r="AA26" s="413"/>
      <c r="AB26" s="399"/>
      <c r="AC26" s="399"/>
      <c r="AD26" s="399"/>
      <c r="AE26" s="399"/>
      <c r="AF26" s="399"/>
      <c r="AI26" s="412"/>
      <c r="AJ26" s="1624" t="s">
        <v>60</v>
      </c>
      <c r="AK26" s="1624"/>
      <c r="AL26" s="1624"/>
      <c r="AM26" s="1624"/>
      <c r="AN26" s="1625"/>
      <c r="AO26" s="1559" t="s">
        <v>11</v>
      </c>
      <c r="AP26" s="276"/>
      <c r="AQ26" s="413"/>
      <c r="AR26" s="112"/>
      <c r="AU26" s="593" t="s">
        <v>48</v>
      </c>
      <c r="AV26" s="407">
        <v>125</v>
      </c>
      <c r="AW26" s="407">
        <v>97</v>
      </c>
      <c r="AX26" s="407">
        <v>87</v>
      </c>
      <c r="AY26" s="407">
        <v>379</v>
      </c>
      <c r="AZ26" s="407">
        <v>260</v>
      </c>
      <c r="BA26" s="407">
        <v>62</v>
      </c>
      <c r="BB26" s="407">
        <v>56</v>
      </c>
      <c r="BC26" s="407">
        <v>957</v>
      </c>
      <c r="BD26" s="408">
        <v>950</v>
      </c>
      <c r="BE26" s="378"/>
      <c r="BF26" s="582" t="s">
        <v>106</v>
      </c>
      <c r="BG26" s="408">
        <v>1</v>
      </c>
      <c r="BH26" s="111"/>
      <c r="BI26" s="399"/>
    </row>
    <row r="27" spans="2:61" s="400" customFormat="1" ht="27.95" customHeight="1" thickBot="1" x14ac:dyDescent="0.3">
      <c r="B27" s="412"/>
      <c r="C27" s="276"/>
      <c r="D27" s="874"/>
      <c r="E27" s="874"/>
      <c r="F27" s="276"/>
      <c r="G27" s="276"/>
      <c r="H27" s="276"/>
      <c r="I27" s="413"/>
      <c r="J27" s="399"/>
      <c r="K27" s="412"/>
      <c r="L27" s="1661" t="str">
        <f>Milchverarbeitung!AU47</f>
        <v>Milchpulver Walzenverfahren</v>
      </c>
      <c r="M27" s="1662"/>
      <c r="N27" s="1554"/>
      <c r="O27" s="473">
        <f>$N27*Milchverarbeitung!AV47/1000</f>
        <v>0</v>
      </c>
      <c r="P27" s="474">
        <f>$N27*Milchverarbeitung!AW47/1000</f>
        <v>0</v>
      </c>
      <c r="Q27" s="475">
        <f>$N27*Milchverarbeitung!AX47/1000</f>
        <v>0</v>
      </c>
      <c r="R27" s="413"/>
      <c r="T27" s="412"/>
      <c r="U27" s="417"/>
      <c r="V27" s="418"/>
      <c r="W27" s="430" t="s">
        <v>518</v>
      </c>
      <c r="X27" s="431" t="s">
        <v>552</v>
      </c>
      <c r="Y27" s="430" t="s">
        <v>552</v>
      </c>
      <c r="Z27" s="424" t="s">
        <v>555</v>
      </c>
      <c r="AA27" s="413"/>
      <c r="AB27" s="399"/>
      <c r="AC27" s="399"/>
      <c r="AD27" s="399"/>
      <c r="AE27" s="399"/>
      <c r="AF27" s="399"/>
      <c r="AI27" s="412"/>
      <c r="AJ27" s="1613" t="s">
        <v>117</v>
      </c>
      <c r="AK27" s="1613"/>
      <c r="AL27" s="1613"/>
      <c r="AM27" s="1613"/>
      <c r="AN27" s="1613"/>
      <c r="AO27" s="1559" t="s">
        <v>11</v>
      </c>
      <c r="AP27" s="276"/>
      <c r="AQ27" s="413"/>
      <c r="AR27" s="112"/>
      <c r="AU27" s="593" t="s">
        <v>114</v>
      </c>
      <c r="AV27" s="407">
        <v>35</v>
      </c>
      <c r="AW27" s="407">
        <v>0.5</v>
      </c>
      <c r="AX27" s="407">
        <v>5</v>
      </c>
      <c r="AY27" s="407">
        <v>315</v>
      </c>
      <c r="AZ27" s="407">
        <v>75</v>
      </c>
      <c r="BA27" s="407">
        <v>0.5</v>
      </c>
      <c r="BB27" s="407">
        <v>0.5</v>
      </c>
      <c r="BC27" s="407">
        <v>10</v>
      </c>
      <c r="BD27" s="408">
        <v>12</v>
      </c>
      <c r="BE27" s="378"/>
      <c r="BF27" s="582" t="s">
        <v>39</v>
      </c>
      <c r="BG27" s="408">
        <v>5</v>
      </c>
      <c r="BH27" s="111"/>
      <c r="BI27" s="399"/>
    </row>
    <row r="28" spans="2:61" s="400" customFormat="1" ht="27.95" customHeight="1" thickBot="1" x14ac:dyDescent="0.3">
      <c r="B28" s="412"/>
      <c r="C28" s="452" t="s">
        <v>983</v>
      </c>
      <c r="D28" s="452"/>
      <c r="E28" s="456">
        <f>IF(E16&gt;0,IF(F17-F16&gt;G17-G16,(F17-F16)/AV24*1000,(G17-G16)/AV25*1000),0)</f>
        <v>0</v>
      </c>
      <c r="F28" s="719" t="s">
        <v>529</v>
      </c>
      <c r="G28" s="456">
        <f>E28*0.6</f>
        <v>0</v>
      </c>
      <c r="H28" s="452" t="s">
        <v>528</v>
      </c>
      <c r="I28" s="413"/>
      <c r="J28" s="399"/>
      <c r="K28" s="412"/>
      <c r="L28" s="1661" t="str">
        <f>Milchverarbeitung!AU48</f>
        <v>Molkenpulver</v>
      </c>
      <c r="M28" s="1662"/>
      <c r="N28" s="1554"/>
      <c r="O28" s="473">
        <f>$N28*Milchverarbeitung!AV48/1000</f>
        <v>0</v>
      </c>
      <c r="P28" s="474">
        <f>$N28*Milchverarbeitung!AW48/1000</f>
        <v>0</v>
      </c>
      <c r="Q28" s="475">
        <f>$N28*Milchverarbeitung!AX48/1000</f>
        <v>0</v>
      </c>
      <c r="R28" s="413"/>
      <c r="T28" s="412"/>
      <c r="U28" s="508" t="s">
        <v>14</v>
      </c>
      <c r="V28" s="509"/>
      <c r="W28" s="510">
        <f>SUM(W17:W24)</f>
        <v>0</v>
      </c>
      <c r="X28" s="511">
        <f>SUM(X17:X24)</f>
        <v>0</v>
      </c>
      <c r="Y28" s="512">
        <f>SUM(Y17:Y24)</f>
        <v>0</v>
      </c>
      <c r="Z28" s="513">
        <f>SUM(Z17:Z26)</f>
        <v>0</v>
      </c>
      <c r="AA28" s="413"/>
      <c r="AB28" s="399"/>
      <c r="AC28" s="399"/>
      <c r="AD28" s="399"/>
      <c r="AE28" s="399"/>
      <c r="AF28" s="399"/>
      <c r="AI28" s="412"/>
      <c r="AJ28" s="1613" t="s">
        <v>76</v>
      </c>
      <c r="AK28" s="1613"/>
      <c r="AL28" s="1613"/>
      <c r="AM28" s="1613"/>
      <c r="AN28" s="1613"/>
      <c r="AO28" s="1559" t="s">
        <v>11</v>
      </c>
      <c r="AP28" s="276"/>
      <c r="AQ28" s="413"/>
      <c r="AR28" s="112"/>
      <c r="AU28" s="593" t="s">
        <v>116</v>
      </c>
      <c r="AV28" s="407">
        <v>36</v>
      </c>
      <c r="AW28" s="407">
        <v>36</v>
      </c>
      <c r="AX28" s="407">
        <v>35</v>
      </c>
      <c r="AY28" s="407">
        <v>28</v>
      </c>
      <c r="AZ28" s="407">
        <v>71</v>
      </c>
      <c r="BA28" s="407">
        <v>7.5</v>
      </c>
      <c r="BB28" s="407">
        <v>7.5</v>
      </c>
      <c r="BC28" s="407">
        <v>350</v>
      </c>
      <c r="BD28" s="408">
        <v>123</v>
      </c>
      <c r="BE28" s="378"/>
      <c r="BF28" s="582" t="s">
        <v>42</v>
      </c>
      <c r="BG28" s="408">
        <v>12.5</v>
      </c>
      <c r="BH28" s="111"/>
      <c r="BI28" s="399"/>
    </row>
    <row r="29" spans="2:61" s="400" customFormat="1" ht="27.95" customHeight="1" thickBot="1" x14ac:dyDescent="0.3">
      <c r="B29" s="417"/>
      <c r="C29" s="418"/>
      <c r="D29" s="418"/>
      <c r="E29" s="453"/>
      <c r="F29" s="418"/>
      <c r="G29" s="418"/>
      <c r="H29" s="418"/>
      <c r="I29" s="419"/>
      <c r="J29" s="399"/>
      <c r="K29" s="412"/>
      <c r="L29" s="1661" t="str">
        <f>Milchverarbeitung!AU49</f>
        <v>Milchzucker</v>
      </c>
      <c r="M29" s="1662"/>
      <c r="N29" s="1554"/>
      <c r="O29" s="473">
        <f>$N29*Milchverarbeitung!AV49/1000</f>
        <v>0</v>
      </c>
      <c r="P29" s="474">
        <f>$N29*Milchverarbeitung!AW49/1000</f>
        <v>0</v>
      </c>
      <c r="Q29" s="475">
        <f>$N29*Milchverarbeitung!AX49/1000</f>
        <v>0</v>
      </c>
      <c r="R29" s="413"/>
      <c r="T29" s="412"/>
      <c r="U29" s="276"/>
      <c r="V29" s="276"/>
      <c r="W29" s="276"/>
      <c r="X29" s="276"/>
      <c r="Y29" s="276"/>
      <c r="Z29" s="276"/>
      <c r="AA29" s="413"/>
      <c r="AB29" s="399"/>
      <c r="AC29" s="399"/>
      <c r="AD29" s="399"/>
      <c r="AE29" s="399"/>
      <c r="AF29" s="399"/>
      <c r="AI29" s="412"/>
      <c r="AJ29" s="1613" t="s">
        <v>77</v>
      </c>
      <c r="AK29" s="1613"/>
      <c r="AL29" s="1613"/>
      <c r="AM29" s="1613"/>
      <c r="AN29" s="1613"/>
      <c r="AO29" s="1559" t="s">
        <v>11</v>
      </c>
      <c r="AP29" s="276"/>
      <c r="AQ29" s="413"/>
      <c r="AR29" s="112"/>
      <c r="AU29" s="594" t="s">
        <v>115</v>
      </c>
      <c r="AV29" s="391">
        <v>47</v>
      </c>
      <c r="AW29" s="391">
        <v>47</v>
      </c>
      <c r="AX29" s="391">
        <v>40</v>
      </c>
      <c r="AY29" s="391">
        <v>33</v>
      </c>
      <c r="AZ29" s="391">
        <v>98</v>
      </c>
      <c r="BA29" s="391">
        <v>47</v>
      </c>
      <c r="BB29" s="391">
        <v>40</v>
      </c>
      <c r="BC29" s="391">
        <v>519</v>
      </c>
      <c r="BD29" s="392">
        <v>734</v>
      </c>
      <c r="BE29" s="378"/>
      <c r="BF29" s="582" t="s">
        <v>40</v>
      </c>
      <c r="BG29" s="408">
        <v>8.5</v>
      </c>
      <c r="BH29" s="111"/>
      <c r="BI29" s="399"/>
    </row>
    <row r="30" spans="2:61" s="400" customFormat="1" ht="27.95" customHeight="1" x14ac:dyDescent="0.25">
      <c r="I30" s="399"/>
      <c r="J30" s="399"/>
      <c r="K30" s="412"/>
      <c r="L30" s="1661" t="str">
        <f>Milchverarbeitung!AU50</f>
        <v>Säurekasein</v>
      </c>
      <c r="M30" s="1662"/>
      <c r="N30" s="1554"/>
      <c r="O30" s="473">
        <f>$N30*Milchverarbeitung!AV50/1000</f>
        <v>0</v>
      </c>
      <c r="P30" s="474">
        <f>$N30*Milchverarbeitung!AW50/1000</f>
        <v>0</v>
      </c>
      <c r="Q30" s="475">
        <f>$N30*Milchverarbeitung!AX50/1000</f>
        <v>0</v>
      </c>
      <c r="R30" s="413"/>
      <c r="T30" s="412"/>
      <c r="U30" s="420"/>
      <c r="V30" s="1690" t="s">
        <v>556</v>
      </c>
      <c r="W30" s="1691"/>
      <c r="X30" s="724" t="s">
        <v>260</v>
      </c>
      <c r="Y30" s="529" t="s">
        <v>552</v>
      </c>
      <c r="Z30" s="276"/>
      <c r="AA30" s="413"/>
      <c r="AB30" s="399"/>
      <c r="AC30" s="399"/>
      <c r="AD30" s="399"/>
      <c r="AE30" s="399"/>
      <c r="AF30" s="399"/>
      <c r="AI30" s="412"/>
      <c r="AJ30" s="1613" t="s">
        <v>78</v>
      </c>
      <c r="AK30" s="1613"/>
      <c r="AL30" s="1613"/>
      <c r="AM30" s="1613"/>
      <c r="AN30" s="1613"/>
      <c r="AO30" s="1559" t="s">
        <v>11</v>
      </c>
      <c r="AP30" s="276"/>
      <c r="AQ30" s="413"/>
      <c r="AR30" s="112"/>
      <c r="AU30" s="374"/>
      <c r="AV30" s="374"/>
      <c r="AW30" s="374"/>
      <c r="AX30" s="374"/>
      <c r="AY30" s="374"/>
      <c r="AZ30" s="374"/>
      <c r="BA30" s="374"/>
      <c r="BB30" s="374"/>
      <c r="BC30" s="374"/>
      <c r="BD30" s="374"/>
      <c r="BE30" s="378"/>
      <c r="BF30" s="582" t="s">
        <v>90</v>
      </c>
      <c r="BG30" s="408">
        <v>9</v>
      </c>
      <c r="BH30" s="111"/>
      <c r="BI30" s="399"/>
    </row>
    <row r="31" spans="2:61" s="400" customFormat="1" ht="27.95" customHeight="1" thickBot="1" x14ac:dyDescent="0.3">
      <c r="B31" s="399"/>
      <c r="I31" s="399"/>
      <c r="J31" s="399"/>
      <c r="K31" s="412"/>
      <c r="L31" s="1661" t="str">
        <f>Milchverarbeitung!AU51</f>
        <v>Labkasein</v>
      </c>
      <c r="M31" s="1662"/>
      <c r="N31" s="1554"/>
      <c r="O31" s="473">
        <f>$N31*Milchverarbeitung!AV51/1000</f>
        <v>0</v>
      </c>
      <c r="P31" s="474">
        <f>$N31*Milchverarbeitung!AW51/1000</f>
        <v>0</v>
      </c>
      <c r="Q31" s="475">
        <f>$N31*Milchverarbeitung!AX51/1000</f>
        <v>0</v>
      </c>
      <c r="R31" s="413"/>
      <c r="T31" s="412"/>
      <c r="U31" s="420"/>
      <c r="V31" s="1649" t="s">
        <v>557</v>
      </c>
      <c r="W31" s="1650"/>
      <c r="X31" s="1557"/>
      <c r="Y31" s="727">
        <f>X31*36</f>
        <v>0</v>
      </c>
      <c r="Z31" s="276"/>
      <c r="AA31" s="413"/>
      <c r="AB31" s="399"/>
      <c r="AC31" s="399"/>
      <c r="AD31" s="399"/>
      <c r="AE31" s="399"/>
      <c r="AF31" s="399"/>
      <c r="AI31" s="412"/>
      <c r="AJ31" s="1613" t="s">
        <v>79</v>
      </c>
      <c r="AK31" s="1613"/>
      <c r="AL31" s="1613"/>
      <c r="AM31" s="1613"/>
      <c r="AN31" s="1613"/>
      <c r="AO31" s="1559" t="s">
        <v>11</v>
      </c>
      <c r="AP31" s="276"/>
      <c r="AQ31" s="413"/>
      <c r="AR31" s="112"/>
      <c r="AT31" s="374"/>
      <c r="AU31" s="374"/>
      <c r="AV31" s="374"/>
      <c r="AW31" s="374"/>
      <c r="AX31" s="374"/>
      <c r="AY31" s="374"/>
      <c r="AZ31" s="374"/>
      <c r="BA31" s="374"/>
      <c r="BB31" s="374"/>
      <c r="BC31" s="374"/>
      <c r="BD31" s="374"/>
      <c r="BE31" s="374"/>
      <c r="BF31" s="584" t="s">
        <v>34</v>
      </c>
      <c r="BG31" s="392">
        <v>11</v>
      </c>
      <c r="BH31" s="111"/>
      <c r="BI31" s="399"/>
    </row>
    <row r="32" spans="2:61" s="400" customFormat="1" ht="27.95" customHeight="1" thickBot="1" x14ac:dyDescent="0.3">
      <c r="B32" s="399"/>
      <c r="I32" s="399"/>
      <c r="J32" s="399"/>
      <c r="K32" s="412"/>
      <c r="L32" s="1680" t="str">
        <f>Milchverarbeitung!AU52</f>
        <v>Milchannahme kg</v>
      </c>
      <c r="M32" s="1681"/>
      <c r="N32" s="1555"/>
      <c r="O32" s="464"/>
      <c r="P32" s="465"/>
      <c r="Q32" s="466"/>
      <c r="R32" s="483"/>
      <c r="S32" s="439"/>
      <c r="T32" s="412"/>
      <c r="U32" s="420"/>
      <c r="V32" s="1649" t="s">
        <v>558</v>
      </c>
      <c r="W32" s="1650"/>
      <c r="X32" s="1557"/>
      <c r="Y32" s="791">
        <f>X32*36</f>
        <v>0</v>
      </c>
      <c r="Z32" s="276"/>
      <c r="AA32" s="413"/>
      <c r="AB32" s="399"/>
      <c r="AC32" s="399"/>
      <c r="AD32" s="399"/>
      <c r="AE32" s="399"/>
      <c r="AF32" s="399"/>
      <c r="AG32" s="439"/>
      <c r="AH32" s="439"/>
      <c r="AI32" s="532"/>
      <c r="AJ32" s="1613" t="s">
        <v>80</v>
      </c>
      <c r="AK32" s="1613"/>
      <c r="AL32" s="1613"/>
      <c r="AM32" s="1613"/>
      <c r="AN32" s="1613"/>
      <c r="AO32" s="1559" t="s">
        <v>11</v>
      </c>
      <c r="AP32" s="276"/>
      <c r="AQ32" s="413"/>
      <c r="AR32" s="112"/>
      <c r="AT32" s="374"/>
      <c r="AU32" s="598" t="s">
        <v>615</v>
      </c>
      <c r="AV32" s="386" t="s">
        <v>475</v>
      </c>
      <c r="AW32" s="386" t="s">
        <v>490</v>
      </c>
      <c r="AX32" s="386" t="s">
        <v>476</v>
      </c>
      <c r="AY32" s="386" t="s">
        <v>477</v>
      </c>
      <c r="AZ32" s="386" t="s">
        <v>491</v>
      </c>
      <c r="BA32" s="387" t="s">
        <v>492</v>
      </c>
      <c r="BB32" s="378"/>
      <c r="BC32" s="374"/>
      <c r="BD32" s="374"/>
      <c r="BE32" s="374"/>
      <c r="BF32" s="374"/>
      <c r="BG32" s="374"/>
      <c r="BH32" s="111"/>
      <c r="BI32" s="399"/>
    </row>
    <row r="33" spans="2:62" s="400" customFormat="1" ht="27.95" customHeight="1" thickBot="1" x14ac:dyDescent="0.3">
      <c r="B33" s="399"/>
      <c r="C33" s="1614" t="s">
        <v>999</v>
      </c>
      <c r="D33" s="1615"/>
      <c r="E33" s="1615"/>
      <c r="F33" s="1615"/>
      <c r="G33" s="1615"/>
      <c r="H33" s="1616"/>
      <c r="I33" s="399"/>
      <c r="J33" s="399"/>
      <c r="K33" s="412"/>
      <c r="L33" s="524"/>
      <c r="M33" s="525"/>
      <c r="N33" s="526" t="s">
        <v>518</v>
      </c>
      <c r="O33" s="527" t="s">
        <v>549</v>
      </c>
      <c r="P33" s="528" t="s">
        <v>523</v>
      </c>
      <c r="Q33" s="505" t="s">
        <v>550</v>
      </c>
      <c r="R33" s="483"/>
      <c r="S33" s="439"/>
      <c r="T33" s="412"/>
      <c r="U33" s="420"/>
      <c r="V33" s="1692" t="s">
        <v>559</v>
      </c>
      <c r="W33" s="1693"/>
      <c r="X33" s="1558"/>
      <c r="Y33" s="276"/>
      <c r="Z33" s="276"/>
      <c r="AA33" s="413"/>
      <c r="AB33" s="399"/>
      <c r="AC33" s="399"/>
      <c r="AD33" s="399"/>
      <c r="AE33" s="399"/>
      <c r="AF33" s="399"/>
      <c r="AG33" s="439"/>
      <c r="AH33" s="439"/>
      <c r="AI33" s="532"/>
      <c r="AJ33" s="1621"/>
      <c r="AK33" s="1621"/>
      <c r="AL33" s="1621"/>
      <c r="AM33" s="1621"/>
      <c r="AN33" s="1621"/>
      <c r="AO33" s="437"/>
      <c r="AP33" s="418"/>
      <c r="AQ33" s="413"/>
      <c r="AR33" s="112"/>
      <c r="AT33" s="374"/>
      <c r="AU33" s="599" t="s">
        <v>473</v>
      </c>
      <c r="AV33" s="388" t="s">
        <v>478</v>
      </c>
      <c r="AW33" s="388" t="s">
        <v>479</v>
      </c>
      <c r="AX33" s="388" t="s">
        <v>480</v>
      </c>
      <c r="AY33" s="389">
        <v>150</v>
      </c>
      <c r="AZ33" s="389">
        <v>100</v>
      </c>
      <c r="BA33" s="390">
        <v>30</v>
      </c>
      <c r="BB33" s="378"/>
      <c r="BC33" s="374"/>
      <c r="BD33" s="374"/>
      <c r="BE33" s="374"/>
      <c r="BF33" s="374"/>
      <c r="BG33" s="393"/>
      <c r="BH33" s="111"/>
      <c r="BI33" s="399"/>
    </row>
    <row r="34" spans="2:62" ht="27.95" customHeight="1" thickBot="1" x14ac:dyDescent="0.3">
      <c r="B34" s="400"/>
      <c r="C34" s="1617" t="s">
        <v>757</v>
      </c>
      <c r="D34" s="1618"/>
      <c r="E34" s="1618"/>
      <c r="F34" s="1618"/>
      <c r="G34" s="1618"/>
      <c r="H34" s="1619"/>
      <c r="I34" s="400"/>
      <c r="K34" s="412"/>
      <c r="L34" s="519" t="s">
        <v>511</v>
      </c>
      <c r="M34" s="520"/>
      <c r="N34" s="521">
        <f>SUM(N17:N31)</f>
        <v>0</v>
      </c>
      <c r="O34" s="514">
        <f>SUM(O17:O32)</f>
        <v>0</v>
      </c>
      <c r="P34" s="522">
        <f>SUM(P17:P32)</f>
        <v>0</v>
      </c>
      <c r="Q34" s="523">
        <f>SUM(Q17:Q32)</f>
        <v>0</v>
      </c>
      <c r="R34" s="483"/>
      <c r="S34" s="439"/>
      <c r="T34" s="532"/>
      <c r="U34" s="420"/>
      <c r="V34" s="420"/>
      <c r="W34" s="420"/>
      <c r="X34" s="420"/>
      <c r="Y34" s="420"/>
      <c r="Z34" s="276"/>
      <c r="AA34" s="413"/>
      <c r="AB34" s="399"/>
      <c r="AC34" s="399"/>
      <c r="AD34" s="399"/>
      <c r="AE34" s="399"/>
      <c r="AF34" s="399"/>
      <c r="AG34" s="439"/>
      <c r="AH34" s="439"/>
      <c r="AI34" s="532"/>
      <c r="AJ34" s="1622" t="s">
        <v>66</v>
      </c>
      <c r="AK34" s="1622"/>
      <c r="AL34" s="1622"/>
      <c r="AM34" s="1622"/>
      <c r="AN34" s="1622"/>
      <c r="AO34" s="541" t="s">
        <v>578</v>
      </c>
      <c r="AP34" s="296"/>
      <c r="AQ34" s="558"/>
      <c r="AU34" s="591" t="s">
        <v>474</v>
      </c>
      <c r="AV34" s="391"/>
      <c r="AW34" s="391">
        <v>2400</v>
      </c>
      <c r="AX34" s="391">
        <v>5300</v>
      </c>
      <c r="AY34" s="391">
        <v>96</v>
      </c>
      <c r="AZ34" s="391">
        <v>90</v>
      </c>
      <c r="BA34" s="392">
        <v>26</v>
      </c>
      <c r="BB34" s="378" t="s">
        <v>481</v>
      </c>
      <c r="BG34" s="393"/>
    </row>
    <row r="35" spans="2:62" ht="27.95" customHeight="1" thickBot="1" x14ac:dyDescent="0.35">
      <c r="C35" s="1617"/>
      <c r="D35" s="1618"/>
      <c r="E35" s="1618"/>
      <c r="F35" s="1618"/>
      <c r="G35" s="1618"/>
      <c r="H35" s="1619"/>
      <c r="J35" s="399"/>
      <c r="K35" s="412"/>
      <c r="L35" s="1663" t="s">
        <v>564</v>
      </c>
      <c r="M35" s="1664"/>
      <c r="N35" s="1682"/>
      <c r="O35" s="1551"/>
      <c r="P35" s="1551"/>
      <c r="Q35" s="1552"/>
      <c r="R35" s="484"/>
      <c r="S35" s="441"/>
      <c r="T35" s="412"/>
      <c r="U35" s="420"/>
      <c r="V35" s="1694"/>
      <c r="W35" s="1694"/>
      <c r="X35" s="469" t="s">
        <v>634</v>
      </c>
      <c r="Y35" s="804" t="s">
        <v>565</v>
      </c>
      <c r="Z35" s="809" t="s">
        <v>666</v>
      </c>
      <c r="AA35" s="413"/>
      <c r="AB35" s="534"/>
      <c r="AC35" s="534"/>
      <c r="AD35" s="534"/>
      <c r="AE35" s="534"/>
      <c r="AF35" s="534"/>
      <c r="AG35" s="441"/>
      <c r="AH35" s="441"/>
      <c r="AI35" s="533"/>
      <c r="AJ35" s="1613" t="s">
        <v>61</v>
      </c>
      <c r="AK35" s="1613"/>
      <c r="AL35" s="1613"/>
      <c r="AM35" s="1613"/>
      <c r="AN35" s="1613"/>
      <c r="AO35" s="1559" t="s">
        <v>11</v>
      </c>
      <c r="AP35" s="276"/>
      <c r="AQ35" s="558"/>
      <c r="BJ35" s="378"/>
    </row>
    <row r="36" spans="2:62" ht="27.95" customHeight="1" thickBot="1" x14ac:dyDescent="0.3">
      <c r="C36" s="855"/>
      <c r="D36" s="1336" t="s">
        <v>750</v>
      </c>
      <c r="E36" s="859" t="s">
        <v>751</v>
      </c>
      <c r="F36" s="399"/>
      <c r="G36" s="399"/>
      <c r="H36" s="857"/>
      <c r="K36" s="412"/>
      <c r="L36" s="1677" t="s">
        <v>56</v>
      </c>
      <c r="M36" s="1678"/>
      <c r="N36" s="1679"/>
      <c r="O36" s="421" t="e">
        <f>O35/O34</f>
        <v>#DIV/0!</v>
      </c>
      <c r="P36" s="422" t="e">
        <f>P35/P34</f>
        <v>#DIV/0!</v>
      </c>
      <c r="Q36" s="423" t="e">
        <f>Q35/Q34</f>
        <v>#DIV/0!</v>
      </c>
      <c r="R36" s="413"/>
      <c r="T36" s="532"/>
      <c r="U36" s="420"/>
      <c r="V36" s="1686" t="s">
        <v>672</v>
      </c>
      <c r="W36" s="1687"/>
      <c r="X36" s="726">
        <f>X28</f>
        <v>0</v>
      </c>
      <c r="Y36" s="805">
        <f>Z28</f>
        <v>0</v>
      </c>
      <c r="Z36" s="810">
        <f>X36*0.27778+Y36</f>
        <v>0</v>
      </c>
      <c r="AA36" s="483"/>
      <c r="AB36" s="534"/>
      <c r="AC36" s="534"/>
      <c r="AD36" s="534"/>
      <c r="AE36" s="534"/>
      <c r="AF36" s="534"/>
      <c r="AI36" s="412"/>
      <c r="AJ36" s="1613" t="s">
        <v>67</v>
      </c>
      <c r="AK36" s="1613"/>
      <c r="AL36" s="1613"/>
      <c r="AM36" s="1613"/>
      <c r="AN36" s="1613"/>
      <c r="AO36" s="1559" t="s">
        <v>11</v>
      </c>
      <c r="AP36" s="276"/>
      <c r="AQ36" s="558"/>
      <c r="AU36" s="600" t="s">
        <v>509</v>
      </c>
      <c r="AV36" s="601" t="s">
        <v>47</v>
      </c>
      <c r="AW36" s="602" t="s">
        <v>46</v>
      </c>
      <c r="AX36" s="603" t="s">
        <v>493</v>
      </c>
      <c r="AZ36" s="598" t="s">
        <v>502</v>
      </c>
      <c r="BA36" s="1699" t="s">
        <v>614</v>
      </c>
      <c r="BB36" s="1700"/>
      <c r="BC36" s="1700"/>
      <c r="BD36" s="1701"/>
      <c r="BJ36" s="378"/>
    </row>
    <row r="37" spans="2:62" ht="27.95" customHeight="1" thickBot="1" x14ac:dyDescent="0.35">
      <c r="C37" s="858" t="s">
        <v>737</v>
      </c>
      <c r="D37" s="1104">
        <f>H17</f>
        <v>0</v>
      </c>
      <c r="E37" s="1337">
        <f>H16</f>
        <v>0</v>
      </c>
      <c r="F37" s="860" t="s">
        <v>738</v>
      </c>
      <c r="G37" s="862">
        <v>0</v>
      </c>
      <c r="H37" s="1341">
        <v>0</v>
      </c>
      <c r="K37" s="412"/>
      <c r="L37" s="829" t="s">
        <v>59</v>
      </c>
      <c r="M37" s="479"/>
      <c r="N37" s="830"/>
      <c r="O37" s="414" t="e">
        <f>IF(O36&gt;0,IF(O36&lt;=Gut,"gut",IF(O36&lt;=Potential,"Potential","Bedarf")),"")</f>
        <v>#DIV/0!</v>
      </c>
      <c r="P37" s="415" t="e">
        <f>IF(P36&gt;0,IF(P36&lt;=Gut,"gut",IF(P36&lt;=Potential,"Potential","Bedarf")),"")</f>
        <v>#DIV/0!</v>
      </c>
      <c r="Q37" s="416" t="e">
        <f>IF(Q36&gt;0,IF(Q36&lt;=Gut,"gut",IF(Q36&lt;=Potential,"Potential","Bedarf")),"")</f>
        <v>#DIV/0!</v>
      </c>
      <c r="R37" s="413"/>
      <c r="T37" s="533"/>
      <c r="U37" s="420"/>
      <c r="V37" s="1695" t="s">
        <v>673</v>
      </c>
      <c r="W37" s="1696"/>
      <c r="X37" s="726">
        <f>Y31+Y32</f>
        <v>0</v>
      </c>
      <c r="Y37" s="805">
        <f>X33</f>
        <v>0</v>
      </c>
      <c r="Z37" s="810">
        <f>X37*0.27778+Y37</f>
        <v>0</v>
      </c>
      <c r="AA37" s="483"/>
      <c r="AB37" s="535"/>
      <c r="AC37" s="535"/>
      <c r="AD37" s="535"/>
      <c r="AE37" s="535"/>
      <c r="AF37" s="535"/>
      <c r="AI37" s="412"/>
      <c r="AJ37" s="1613" t="s">
        <v>68</v>
      </c>
      <c r="AK37" s="1613"/>
      <c r="AL37" s="1613"/>
      <c r="AM37" s="1613"/>
      <c r="AN37" s="1613"/>
      <c r="AO37" s="1559" t="s">
        <v>11</v>
      </c>
      <c r="AP37" s="276"/>
      <c r="AQ37" s="558"/>
      <c r="AU37" s="604" t="s">
        <v>38</v>
      </c>
      <c r="AV37" s="605">
        <v>2.42</v>
      </c>
      <c r="AW37" s="606">
        <v>3.21</v>
      </c>
      <c r="AX37" s="607">
        <v>1.5</v>
      </c>
      <c r="AZ37" s="615"/>
      <c r="BA37" s="1611" t="s">
        <v>494</v>
      </c>
      <c r="BB37" s="1612"/>
      <c r="BC37" s="1611" t="s">
        <v>171</v>
      </c>
      <c r="BD37" s="1612"/>
      <c r="BI37" s="460"/>
      <c r="BJ37" s="385"/>
    </row>
    <row r="38" spans="2:62" ht="27.95" customHeight="1" thickBot="1" x14ac:dyDescent="0.35">
      <c r="C38" s="858" t="s">
        <v>739</v>
      </c>
      <c r="D38" s="1104">
        <f>IF(G17&gt;0,G17,D39/AV24*AV25)</f>
        <v>0</v>
      </c>
      <c r="E38" s="1260">
        <f>IF(G16&gt;0,G16,E39/AV24*AV25)</f>
        <v>0</v>
      </c>
      <c r="F38" s="860" t="s">
        <v>740</v>
      </c>
      <c r="G38" s="862">
        <f>D38/3*0.17</f>
        <v>0</v>
      </c>
      <c r="H38" s="1341">
        <f>E38/3*0.17</f>
        <v>0</v>
      </c>
      <c r="K38" s="412"/>
      <c r="L38" s="276"/>
      <c r="M38" s="276"/>
      <c r="N38" s="276"/>
      <c r="O38" s="276"/>
      <c r="P38" s="276"/>
      <c r="Q38" s="276"/>
      <c r="R38" s="413"/>
      <c r="T38" s="412"/>
      <c r="U38" s="420"/>
      <c r="V38" s="1684" t="s">
        <v>670</v>
      </c>
      <c r="W38" s="1685"/>
      <c r="X38" s="506" t="e">
        <f>X37/X36</f>
        <v>#DIV/0!</v>
      </c>
      <c r="Y38" s="807" t="e">
        <f>Y37/Y36</f>
        <v>#DIV/0!</v>
      </c>
      <c r="Z38" s="811" t="e">
        <f>Z37/Z36</f>
        <v>#DIV/0!</v>
      </c>
      <c r="AA38" s="484"/>
      <c r="AB38" s="399"/>
      <c r="AC38" s="399"/>
      <c r="AD38" s="399"/>
      <c r="AE38" s="399"/>
      <c r="AF38" s="399"/>
      <c r="AI38" s="412"/>
      <c r="AJ38" s="1613" t="s">
        <v>583</v>
      </c>
      <c r="AK38" s="1613"/>
      <c r="AL38" s="1613"/>
      <c r="AM38" s="1613"/>
      <c r="AN38" s="1613"/>
      <c r="AO38" s="1559" t="s">
        <v>11</v>
      </c>
      <c r="AP38" s="276"/>
      <c r="AQ38" s="558"/>
      <c r="AU38" s="608" t="s">
        <v>495</v>
      </c>
      <c r="AV38" s="609">
        <v>13.6</v>
      </c>
      <c r="AW38" s="610">
        <v>18.2</v>
      </c>
      <c r="AX38" s="611">
        <v>25</v>
      </c>
      <c r="AZ38" s="616" t="s">
        <v>55</v>
      </c>
      <c r="BA38" s="617" t="s">
        <v>166</v>
      </c>
      <c r="BB38" s="618" t="s">
        <v>167</v>
      </c>
      <c r="BC38" s="619" t="s">
        <v>166</v>
      </c>
      <c r="BD38" s="392" t="s">
        <v>167</v>
      </c>
      <c r="BI38" s="442"/>
      <c r="BJ38" s="378"/>
    </row>
    <row r="39" spans="2:62" ht="27.95" customHeight="1" thickBot="1" x14ac:dyDescent="0.3">
      <c r="C39" s="858" t="s">
        <v>749</v>
      </c>
      <c r="D39" s="1104">
        <f>F17</f>
        <v>0</v>
      </c>
      <c r="E39" s="1260">
        <f>F16</f>
        <v>0</v>
      </c>
      <c r="F39" s="860" t="s">
        <v>741</v>
      </c>
      <c r="G39" s="862">
        <f>D38/3*0.03</f>
        <v>0</v>
      </c>
      <c r="H39" s="1341">
        <f>E38/3*0.03</f>
        <v>0</v>
      </c>
      <c r="K39" s="412"/>
      <c r="L39" s="452" t="s">
        <v>525</v>
      </c>
      <c r="M39" s="452"/>
      <c r="N39" s="452"/>
      <c r="O39" s="452"/>
      <c r="P39" s="455" t="str">
        <f>IF(N34&gt;0,IF(O35&gt;0,O35/AV24*1000,IF(P35&gt;0,P35/AV25*1000,""))/N34,"")</f>
        <v/>
      </c>
      <c r="Q39" s="452" t="s">
        <v>526</v>
      </c>
      <c r="R39" s="413"/>
      <c r="T39" s="412"/>
      <c r="U39" s="722"/>
      <c r="V39" s="1688" t="s">
        <v>59</v>
      </c>
      <c r="W39" s="1689"/>
      <c r="X39" s="806" t="e">
        <f>IF(X38&gt;0,IF(X38&lt;=Gut,"gut",IF(X38&lt;=Potential,"Potential","Bedarf")),"")</f>
        <v>#DIV/0!</v>
      </c>
      <c r="Y39" s="808" t="e">
        <f>IF(Y38&gt;0,IF(Y38&lt;=Gut,"gut",IF(Y38&lt;=Potential,"Potential","Bedarf")),"")</f>
        <v>#DIV/0!</v>
      </c>
      <c r="Z39" s="812" t="e">
        <f>IF(Z38&gt;0,IF(Z38&lt;=Gut,"gut",IF(Z38&lt;=Potential,"Potential","Bedarf")),"")</f>
        <v>#DIV/0!</v>
      </c>
      <c r="AA39" s="413"/>
      <c r="AB39" s="399"/>
      <c r="AC39" s="399"/>
      <c r="AD39" s="399"/>
      <c r="AE39" s="399"/>
      <c r="AF39" s="399"/>
      <c r="AI39" s="412"/>
      <c r="AJ39" s="1613" t="s">
        <v>582</v>
      </c>
      <c r="AK39" s="1613"/>
      <c r="AL39" s="1613"/>
      <c r="AM39" s="1613"/>
      <c r="AN39" s="1613"/>
      <c r="AO39" s="1559" t="s">
        <v>11</v>
      </c>
      <c r="AP39" s="276"/>
      <c r="AQ39" s="558"/>
      <c r="AU39" s="608" t="s">
        <v>496</v>
      </c>
      <c r="AV39" s="609">
        <v>18.5</v>
      </c>
      <c r="AW39" s="610">
        <v>30.6</v>
      </c>
      <c r="AX39" s="611">
        <v>20.6</v>
      </c>
      <c r="AZ39" s="620" t="s">
        <v>165</v>
      </c>
      <c r="BA39" s="621">
        <v>35.299999999999997</v>
      </c>
      <c r="BB39" s="622"/>
      <c r="BC39" s="599"/>
      <c r="BD39" s="390"/>
      <c r="BI39" s="442"/>
      <c r="BJ39" s="378"/>
    </row>
    <row r="40" spans="2:62" ht="27.95" customHeight="1" x14ac:dyDescent="0.35">
      <c r="C40" s="863" t="s">
        <v>712</v>
      </c>
      <c r="D40" s="1338">
        <f>D38+Zuschlag!$B$35*Zuschlag!$B$34*G38</f>
        <v>0</v>
      </c>
      <c r="E40" s="1338">
        <f>E38+Zuschlag!$B$35*Zuschlag!$B$34*H38</f>
        <v>0</v>
      </c>
      <c r="F40" s="865" t="s">
        <v>715</v>
      </c>
      <c r="G40" s="866">
        <f>D37/Zuschlag!$B$22</f>
        <v>0</v>
      </c>
      <c r="H40" s="1342">
        <f>E37/Zuschlag!$B$22</f>
        <v>0</v>
      </c>
      <c r="K40" s="412"/>
      <c r="L40" s="452" t="s">
        <v>527</v>
      </c>
      <c r="M40" s="452"/>
      <c r="N40" s="452"/>
      <c r="O40" s="452"/>
      <c r="P40" s="276"/>
      <c r="Q40" s="276"/>
      <c r="R40" s="413"/>
      <c r="T40" s="412"/>
      <c r="U40" s="276"/>
      <c r="V40" s="432" t="s">
        <v>553</v>
      </c>
      <c r="W40" s="276"/>
      <c r="X40" s="276"/>
      <c r="Y40" s="277"/>
      <c r="Z40" s="276"/>
      <c r="AA40" s="413"/>
      <c r="AB40" s="399"/>
      <c r="AC40" s="399"/>
      <c r="AD40" s="399"/>
      <c r="AE40" s="399"/>
      <c r="AF40" s="399"/>
      <c r="AI40" s="412"/>
      <c r="AJ40" s="1613" t="s">
        <v>584</v>
      </c>
      <c r="AK40" s="1613"/>
      <c r="AL40" s="1613"/>
      <c r="AM40" s="1613"/>
      <c r="AN40" s="1613"/>
      <c r="AO40" s="1559" t="s">
        <v>11</v>
      </c>
      <c r="AP40" s="276"/>
      <c r="AQ40" s="558"/>
      <c r="AU40" s="608" t="s">
        <v>554</v>
      </c>
      <c r="AV40" s="609">
        <v>1.8</v>
      </c>
      <c r="AW40" s="610">
        <v>2.29</v>
      </c>
      <c r="AX40" s="611">
        <v>2.2000000000000002</v>
      </c>
      <c r="AZ40" s="623" t="s">
        <v>169</v>
      </c>
      <c r="BA40" s="624">
        <v>48.4</v>
      </c>
      <c r="BB40" s="625"/>
      <c r="BC40" s="590"/>
      <c r="BD40" s="408"/>
      <c r="BI40" s="442"/>
      <c r="BJ40" s="378"/>
    </row>
    <row r="41" spans="2:62" ht="27.95" customHeight="1" x14ac:dyDescent="0.35">
      <c r="C41" s="863" t="s">
        <v>713</v>
      </c>
      <c r="D41" s="1338">
        <f>G37+Zuschlag!$B$36*D38+Zuschlag!$B$37*G39</f>
        <v>0</v>
      </c>
      <c r="E41" s="1338">
        <f>H37+Zuschlag!$B$36*E38+Zuschlag!$B$37*H39</f>
        <v>0</v>
      </c>
      <c r="F41" s="865" t="s">
        <v>716</v>
      </c>
      <c r="G41" s="866">
        <f>D40/Zuschlag!$B$23</f>
        <v>0</v>
      </c>
      <c r="H41" s="1342">
        <f>E40/Zuschlag!$B$23</f>
        <v>0</v>
      </c>
      <c r="K41" s="412"/>
      <c r="L41" s="276"/>
      <c r="M41" s="276"/>
      <c r="N41" s="276"/>
      <c r="O41" s="276"/>
      <c r="P41" s="276"/>
      <c r="Q41" s="276"/>
      <c r="R41" s="413"/>
      <c r="T41" s="412"/>
      <c r="U41" s="420"/>
      <c r="V41" s="420"/>
      <c r="W41" s="420"/>
      <c r="X41" s="420"/>
      <c r="Y41" s="420"/>
      <c r="Z41" s="420"/>
      <c r="AA41" s="413"/>
      <c r="AB41" s="399"/>
      <c r="AC41" s="399"/>
      <c r="AD41" s="399"/>
      <c r="AE41" s="399"/>
      <c r="AF41" s="399"/>
      <c r="AI41" s="412"/>
      <c r="AJ41" s="1613" t="s">
        <v>62</v>
      </c>
      <c r="AK41" s="1613"/>
      <c r="AL41" s="1613"/>
      <c r="AM41" s="1613"/>
      <c r="AN41" s="1613"/>
      <c r="AO41" s="1559" t="s">
        <v>11</v>
      </c>
      <c r="AP41" s="276"/>
      <c r="AQ41" s="558"/>
      <c r="AU41" s="608" t="s">
        <v>40</v>
      </c>
      <c r="AV41" s="609">
        <v>2.14</v>
      </c>
      <c r="AW41" s="610">
        <v>2.98</v>
      </c>
      <c r="AX41" s="611">
        <v>3.11</v>
      </c>
      <c r="AZ41" s="623" t="s">
        <v>106</v>
      </c>
      <c r="BA41" s="624">
        <v>56.8</v>
      </c>
      <c r="BB41" s="625"/>
      <c r="BC41" s="590"/>
      <c r="BD41" s="408"/>
      <c r="BI41" s="442"/>
      <c r="BJ41" s="378"/>
    </row>
    <row r="42" spans="2:62" ht="27.95" customHeight="1" x14ac:dyDescent="0.35">
      <c r="C42" s="863" t="s">
        <v>714</v>
      </c>
      <c r="D42" s="1338">
        <f>G39</f>
        <v>0</v>
      </c>
      <c r="E42" s="1338">
        <f>H39</f>
        <v>0</v>
      </c>
      <c r="F42" s="865" t="s">
        <v>717</v>
      </c>
      <c r="G42" s="866">
        <f>D41/Zuschlag!$B$24</f>
        <v>0</v>
      </c>
      <c r="H42" s="1342">
        <f>E41/Zuschlag!$B$24</f>
        <v>0</v>
      </c>
      <c r="K42" s="412"/>
      <c r="L42" s="482" t="s">
        <v>537</v>
      </c>
      <c r="M42" s="276"/>
      <c r="N42" s="276"/>
      <c r="O42" s="276"/>
      <c r="P42" s="276"/>
      <c r="Q42" s="1596" t="s">
        <v>1243</v>
      </c>
      <c r="R42" s="413"/>
      <c r="T42" s="412"/>
      <c r="U42" s="482" t="s">
        <v>560</v>
      </c>
      <c r="V42" s="276"/>
      <c r="W42" s="276"/>
      <c r="X42" s="276"/>
      <c r="Y42" s="276"/>
      <c r="Z42" s="276"/>
      <c r="AA42" s="413"/>
      <c r="AB42" s="399"/>
      <c r="AC42" s="399"/>
      <c r="AD42" s="399"/>
      <c r="AE42" s="399"/>
      <c r="AF42" s="399"/>
      <c r="AI42" s="412"/>
      <c r="AJ42" s="1613" t="s">
        <v>82</v>
      </c>
      <c r="AK42" s="1613"/>
      <c r="AL42" s="1613"/>
      <c r="AM42" s="1613"/>
      <c r="AN42" s="1613"/>
      <c r="AO42" s="1559" t="s">
        <v>11</v>
      </c>
      <c r="AP42" s="276"/>
      <c r="AQ42" s="558"/>
      <c r="AU42" s="608" t="s">
        <v>41</v>
      </c>
      <c r="AV42" s="609">
        <v>1.32</v>
      </c>
      <c r="AW42" s="610">
        <v>2.72</v>
      </c>
      <c r="AX42" s="611">
        <v>1.52</v>
      </c>
      <c r="AZ42" s="623" t="s">
        <v>88</v>
      </c>
      <c r="BA42" s="624">
        <v>54.4</v>
      </c>
      <c r="BB42" s="544"/>
      <c r="BC42" s="590"/>
      <c r="BD42" s="408"/>
      <c r="BI42" s="442"/>
      <c r="BJ42" s="378"/>
    </row>
    <row r="43" spans="2:62" ht="27.95" customHeight="1" x14ac:dyDescent="0.35">
      <c r="C43" s="868"/>
      <c r="D43" s="378"/>
      <c r="E43" s="378"/>
      <c r="F43" s="865" t="s">
        <v>718</v>
      </c>
      <c r="G43" s="866">
        <f>D42/Zuschlag!$B$21</f>
        <v>0</v>
      </c>
      <c r="H43" s="1342">
        <f>E42/Zuschlag!$B$21</f>
        <v>0</v>
      </c>
      <c r="K43" s="412"/>
      <c r="L43" s="452" t="s">
        <v>521</v>
      </c>
      <c r="M43" s="276"/>
      <c r="N43" s="456">
        <f>IF(N34&gt;0,Q35-Q34,0)</f>
        <v>0</v>
      </c>
      <c r="O43" s="719" t="s">
        <v>529</v>
      </c>
      <c r="P43" s="456">
        <f>IF(N34&gt;0,N43*Q43,0)</f>
        <v>0</v>
      </c>
      <c r="Q43" s="1599">
        <v>4</v>
      </c>
      <c r="R43" s="413"/>
      <c r="T43" s="412"/>
      <c r="U43" s="722" t="s">
        <v>545</v>
      </c>
      <c r="V43" s="723"/>
      <c r="W43" s="456">
        <f>IF(W28&gt;0,X37-X28,0)</f>
        <v>0</v>
      </c>
      <c r="X43" s="719" t="s">
        <v>529</v>
      </c>
      <c r="Y43" s="456">
        <f>IF(W28&gt;0,W43/36*0.6,0)</f>
        <v>0</v>
      </c>
      <c r="Z43" s="722" t="s">
        <v>563</v>
      </c>
      <c r="AA43" s="413"/>
      <c r="AB43" s="399"/>
      <c r="AC43" s="399"/>
      <c r="AD43" s="399"/>
      <c r="AE43" s="399"/>
      <c r="AF43" s="399"/>
      <c r="AI43" s="412"/>
      <c r="AJ43" s="1613" t="s">
        <v>83</v>
      </c>
      <c r="AK43" s="1613"/>
      <c r="AL43" s="1613"/>
      <c r="AM43" s="1613"/>
      <c r="AN43" s="1613"/>
      <c r="AO43" s="1559" t="s">
        <v>11</v>
      </c>
      <c r="AP43" s="276"/>
      <c r="AQ43" s="558"/>
      <c r="AU43" s="608" t="s">
        <v>42</v>
      </c>
      <c r="AV43" s="609">
        <v>1.54</v>
      </c>
      <c r="AW43" s="610">
        <v>2.23</v>
      </c>
      <c r="AX43" s="611">
        <v>1.74</v>
      </c>
      <c r="AZ43" s="623" t="s">
        <v>42</v>
      </c>
      <c r="BA43" s="624">
        <v>23.6</v>
      </c>
      <c r="BB43" s="544"/>
      <c r="BC43" s="590"/>
      <c r="BD43" s="408"/>
      <c r="BI43" s="442"/>
      <c r="BJ43" s="378"/>
    </row>
    <row r="44" spans="2:62" ht="27.95" customHeight="1" thickBot="1" x14ac:dyDescent="0.3">
      <c r="C44" s="863" t="s">
        <v>719</v>
      </c>
      <c r="D44" s="666" t="e">
        <f>G41/G40</f>
        <v>#DIV/0!</v>
      </c>
      <c r="E44" s="666" t="e">
        <f>H41/H40</f>
        <v>#DIV/0!</v>
      </c>
      <c r="F44" s="378"/>
      <c r="G44" s="459"/>
      <c r="H44" s="867"/>
      <c r="K44" s="412"/>
      <c r="L44" s="276"/>
      <c r="M44" s="722"/>
      <c r="N44" s="722" t="s">
        <v>746</v>
      </c>
      <c r="O44" s="276"/>
      <c r="P44" s="456">
        <f>IF(N34&gt;0,((Q35*P62)-(Q34*P63))*Q43,0)</f>
        <v>0</v>
      </c>
      <c r="Q44" s="452"/>
      <c r="R44" s="413"/>
      <c r="T44" s="412"/>
      <c r="U44" s="722" t="s">
        <v>561</v>
      </c>
      <c r="V44" s="723"/>
      <c r="W44" s="456">
        <f>IF(W28&gt;0,Y37-Z28,0)</f>
        <v>0</v>
      </c>
      <c r="X44" s="719" t="s">
        <v>529</v>
      </c>
      <c r="Y44" s="456">
        <f>IF(W28&gt;0,W44*0.2,0)</f>
        <v>0</v>
      </c>
      <c r="Z44" s="722" t="s">
        <v>562</v>
      </c>
      <c r="AA44" s="413"/>
      <c r="AB44" s="399"/>
      <c r="AC44" s="399"/>
      <c r="AD44" s="399"/>
      <c r="AE44" s="399"/>
      <c r="AF44" s="399"/>
      <c r="AI44" s="412"/>
      <c r="AJ44" s="1621"/>
      <c r="AK44" s="1621"/>
      <c r="AL44" s="1621"/>
      <c r="AM44" s="1621"/>
      <c r="AN44" s="1621"/>
      <c r="AO44" s="437"/>
      <c r="AP44" s="418"/>
      <c r="AQ44" s="558"/>
      <c r="AU44" s="608" t="s">
        <v>497</v>
      </c>
      <c r="AV44" s="609">
        <v>2.72</v>
      </c>
      <c r="AW44" s="610">
        <v>3.46</v>
      </c>
      <c r="AX44" s="611">
        <v>4.7</v>
      </c>
      <c r="AZ44" s="623" t="s">
        <v>1252</v>
      </c>
      <c r="BA44" s="626">
        <v>13.5</v>
      </c>
      <c r="BB44" s="627">
        <v>246</v>
      </c>
      <c r="BC44" s="626">
        <v>4.7</v>
      </c>
      <c r="BD44" s="628">
        <v>188</v>
      </c>
      <c r="BI44" s="461"/>
      <c r="BJ44" s="378"/>
    </row>
    <row r="45" spans="2:62" ht="27.95" customHeight="1" thickBot="1" x14ac:dyDescent="0.3">
      <c r="C45" s="863" t="s">
        <v>720</v>
      </c>
      <c r="D45" s="666" t="e">
        <f>G42/G40</f>
        <v>#DIV/0!</v>
      </c>
      <c r="E45" s="666" t="e">
        <f>H42/H40</f>
        <v>#DIV/0!</v>
      </c>
      <c r="F45" s="378"/>
      <c r="G45" s="378"/>
      <c r="H45" s="867"/>
      <c r="K45" s="412"/>
      <c r="L45" s="276"/>
      <c r="M45" s="276"/>
      <c r="N45" s="874"/>
      <c r="O45" s="276"/>
      <c r="P45" s="276"/>
      <c r="Q45" s="276"/>
      <c r="R45" s="413"/>
      <c r="T45" s="417"/>
      <c r="U45" s="418"/>
      <c r="V45" s="418"/>
      <c r="W45" s="418"/>
      <c r="X45" s="418"/>
      <c r="Y45" s="418"/>
      <c r="Z45" s="418"/>
      <c r="AA45" s="419"/>
      <c r="AB45" s="399"/>
      <c r="AC45" s="399"/>
      <c r="AD45" s="399"/>
      <c r="AE45" s="399"/>
      <c r="AF45" s="399"/>
      <c r="AI45" s="412"/>
      <c r="AJ45" s="1622" t="s">
        <v>146</v>
      </c>
      <c r="AK45" s="1622"/>
      <c r="AL45" s="1622"/>
      <c r="AM45" s="1622"/>
      <c r="AN45" s="1622"/>
      <c r="AO45" s="541" t="s">
        <v>578</v>
      </c>
      <c r="AP45" s="296"/>
      <c r="AQ45" s="558"/>
      <c r="AU45" s="608" t="s">
        <v>31</v>
      </c>
      <c r="AV45" s="609">
        <v>0.32</v>
      </c>
      <c r="AW45" s="610">
        <v>0.44</v>
      </c>
      <c r="AX45" s="611">
        <v>0.8</v>
      </c>
      <c r="AY45" s="374" t="s">
        <v>53</v>
      </c>
      <c r="AZ45" s="623" t="s">
        <v>1253</v>
      </c>
      <c r="BA45" s="626">
        <v>32</v>
      </c>
      <c r="BB45" s="627">
        <v>620</v>
      </c>
      <c r="BC45" s="626">
        <v>15.3</v>
      </c>
      <c r="BD45" s="628">
        <v>620</v>
      </c>
      <c r="BI45" s="461"/>
      <c r="BJ45" s="378"/>
    </row>
    <row r="46" spans="2:62" ht="27.95" customHeight="1" thickBot="1" x14ac:dyDescent="0.3">
      <c r="C46" s="863" t="s">
        <v>721</v>
      </c>
      <c r="D46" s="666" t="e">
        <f>G43/G40</f>
        <v>#DIV/0!</v>
      </c>
      <c r="E46" s="666" t="e">
        <f>H43/H40</f>
        <v>#DIV/0!</v>
      </c>
      <c r="F46" s="1339" t="s">
        <v>752</v>
      </c>
      <c r="G46" s="879">
        <f>IFERROR(IF(D38&gt;0,Zuschlag!$B$28+Zuschlag!$B$29*D48+Zuschlag!$B$31*D49+Zuschlag!$B$30*D50,0),0)</f>
        <v>0</v>
      </c>
      <c r="H46" s="867"/>
      <c r="K46" s="412"/>
      <c r="L46" s="452" t="s">
        <v>983</v>
      </c>
      <c r="M46" s="276"/>
      <c r="N46" s="456">
        <f>IF(N34&gt;0,IF(O35-O34&gt;P35-P34,(O35-O34)/AV24*1000,(P35-P34)/AV25*1000),0)</f>
        <v>0</v>
      </c>
      <c r="O46" s="719" t="s">
        <v>529</v>
      </c>
      <c r="P46" s="456">
        <f>N46*0.6</f>
        <v>0</v>
      </c>
      <c r="Q46" s="452" t="s">
        <v>528</v>
      </c>
      <c r="R46" s="413"/>
      <c r="AI46" s="412"/>
      <c r="AJ46" s="1613" t="s">
        <v>84</v>
      </c>
      <c r="AK46" s="1613"/>
      <c r="AL46" s="1613"/>
      <c r="AM46" s="1613"/>
      <c r="AN46" s="1613"/>
      <c r="AO46" s="1559" t="s">
        <v>11</v>
      </c>
      <c r="AP46" s="276"/>
      <c r="AQ46" s="558"/>
      <c r="AU46" s="608" t="s">
        <v>43</v>
      </c>
      <c r="AV46" s="609">
        <v>0.4</v>
      </c>
      <c r="AW46" s="610">
        <v>0.6</v>
      </c>
      <c r="AX46" s="611">
        <v>0.46</v>
      </c>
      <c r="AY46" s="374" t="s">
        <v>53</v>
      </c>
      <c r="AZ46" s="629" t="s">
        <v>1254</v>
      </c>
      <c r="BA46" s="630">
        <v>27</v>
      </c>
      <c r="BB46" s="631">
        <v>577</v>
      </c>
      <c r="BC46" s="630">
        <v>4.42</v>
      </c>
      <c r="BD46" s="632">
        <v>577</v>
      </c>
      <c r="BJ46" s="378"/>
    </row>
    <row r="47" spans="2:62" ht="27.95" customHeight="1" thickBot="1" x14ac:dyDescent="0.3">
      <c r="C47" s="1343" t="s">
        <v>742</v>
      </c>
      <c r="D47" s="378"/>
      <c r="E47" s="378"/>
      <c r="F47" s="1340" t="s">
        <v>753</v>
      </c>
      <c r="G47" s="879">
        <f>IFERROR(IF(E38&gt;0,Zuschlag!$B$28+Zuschlag!$B$29*E48+Zuschlag!$B$31*E49+Zuschlag!$B$30*E50,0),0)</f>
        <v>0</v>
      </c>
      <c r="H47" s="867"/>
      <c r="K47" s="417"/>
      <c r="L47" s="418"/>
      <c r="M47" s="418"/>
      <c r="N47" s="418"/>
      <c r="O47" s="418"/>
      <c r="P47" s="425"/>
      <c r="Q47" s="418"/>
      <c r="R47" s="419"/>
      <c r="AI47" s="412"/>
      <c r="AJ47" s="1613" t="s">
        <v>81</v>
      </c>
      <c r="AK47" s="1613"/>
      <c r="AL47" s="1613"/>
      <c r="AM47" s="1613"/>
      <c r="AN47" s="1613"/>
      <c r="AO47" s="1559" t="s">
        <v>11</v>
      </c>
      <c r="AP47" s="276"/>
      <c r="AQ47" s="558"/>
      <c r="AU47" s="608" t="s">
        <v>44</v>
      </c>
      <c r="AV47" s="609">
        <v>0.3</v>
      </c>
      <c r="AW47" s="610">
        <v>0.61</v>
      </c>
      <c r="AX47" s="611">
        <v>0.5</v>
      </c>
      <c r="AY47" s="374" t="s">
        <v>53</v>
      </c>
      <c r="AZ47" s="1601" t="s">
        <v>1255</v>
      </c>
      <c r="BA47" s="378"/>
      <c r="BB47" s="397"/>
      <c r="BC47" s="397"/>
      <c r="BD47" s="397"/>
      <c r="BF47" s="398"/>
      <c r="BJ47" s="378"/>
    </row>
    <row r="48" spans="2:62" ht="27.95" customHeight="1" thickBot="1" x14ac:dyDescent="0.3">
      <c r="C48" s="863" t="s">
        <v>719</v>
      </c>
      <c r="D48" s="666" t="e">
        <f t="shared" ref="D48:E50" si="0">IF(D44&lt;1,1,D44)</f>
        <v>#DIV/0!</v>
      </c>
      <c r="E48" s="666" t="e">
        <f t="shared" si="0"/>
        <v>#DIV/0!</v>
      </c>
      <c r="F48" s="378"/>
      <c r="G48" s="378"/>
      <c r="H48" s="867"/>
      <c r="AI48" s="412"/>
      <c r="AJ48" s="1613" t="s">
        <v>85</v>
      </c>
      <c r="AK48" s="1613"/>
      <c r="AL48" s="1613"/>
      <c r="AM48" s="1613"/>
      <c r="AN48" s="1613"/>
      <c r="AO48" s="1559" t="s">
        <v>11</v>
      </c>
      <c r="AP48" s="276"/>
      <c r="AQ48" s="558"/>
      <c r="AU48" s="608" t="s">
        <v>45</v>
      </c>
      <c r="AV48" s="609">
        <v>0.45</v>
      </c>
      <c r="AW48" s="610">
        <v>0.75</v>
      </c>
      <c r="AX48" s="611">
        <v>0.53</v>
      </c>
      <c r="AY48" s="374" t="s">
        <v>53</v>
      </c>
      <c r="AZ48" s="729" t="s">
        <v>633</v>
      </c>
      <c r="BA48" s="730"/>
      <c r="BB48" s="730"/>
      <c r="BC48" s="730"/>
      <c r="BD48" s="731"/>
      <c r="BF48" s="459"/>
    </row>
    <row r="49" spans="3:58" ht="27.95" customHeight="1" x14ac:dyDescent="0.25">
      <c r="C49" s="863" t="s">
        <v>720</v>
      </c>
      <c r="D49" s="666" t="e">
        <f t="shared" si="0"/>
        <v>#DIV/0!</v>
      </c>
      <c r="E49" s="666" t="e">
        <f t="shared" si="0"/>
        <v>#DIV/0!</v>
      </c>
      <c r="F49" s="378"/>
      <c r="G49" s="378"/>
      <c r="H49" s="867"/>
      <c r="L49" s="1614" t="s">
        <v>1000</v>
      </c>
      <c r="M49" s="1615"/>
      <c r="N49" s="1615"/>
      <c r="O49" s="1615"/>
      <c r="P49" s="1615"/>
      <c r="Q49" s="1616"/>
      <c r="AI49" s="412"/>
      <c r="AJ49" s="1613" t="s">
        <v>86</v>
      </c>
      <c r="AK49" s="1613"/>
      <c r="AL49" s="1613"/>
      <c r="AM49" s="1613"/>
      <c r="AN49" s="1613"/>
      <c r="AO49" s="1559" t="s">
        <v>11</v>
      </c>
      <c r="AP49" s="276"/>
      <c r="AQ49" s="558"/>
      <c r="AU49" s="539" t="s">
        <v>50</v>
      </c>
      <c r="AV49" s="609">
        <v>0.48</v>
      </c>
      <c r="AW49" s="610">
        <v>1.07</v>
      </c>
      <c r="AX49" s="611">
        <v>0.33</v>
      </c>
      <c r="AY49" s="374" t="s">
        <v>53</v>
      </c>
      <c r="AZ49" s="732" t="s">
        <v>618</v>
      </c>
      <c r="BA49" s="728" t="s">
        <v>619</v>
      </c>
      <c r="BB49" s="728"/>
      <c r="BC49" s="728"/>
      <c r="BD49" s="733"/>
      <c r="BF49" s="398"/>
    </row>
    <row r="50" spans="3:58" ht="27.95" customHeight="1" thickBot="1" x14ac:dyDescent="0.3">
      <c r="C50" s="1344" t="s">
        <v>721</v>
      </c>
      <c r="D50" s="886" t="e">
        <f t="shared" si="0"/>
        <v>#DIV/0!</v>
      </c>
      <c r="E50" s="886" t="e">
        <f t="shared" si="0"/>
        <v>#DIV/0!</v>
      </c>
      <c r="F50" s="870"/>
      <c r="G50" s="870"/>
      <c r="H50" s="871"/>
      <c r="L50" s="1617" t="s">
        <v>757</v>
      </c>
      <c r="M50" s="1618"/>
      <c r="N50" s="1618"/>
      <c r="O50" s="1618"/>
      <c r="P50" s="1618"/>
      <c r="Q50" s="1619"/>
      <c r="AI50" s="412"/>
      <c r="AJ50" s="1613" t="s">
        <v>87</v>
      </c>
      <c r="AK50" s="1613"/>
      <c r="AL50" s="1613"/>
      <c r="AM50" s="1613"/>
      <c r="AN50" s="1613"/>
      <c r="AO50" s="1559" t="s">
        <v>11</v>
      </c>
      <c r="AP50" s="276"/>
      <c r="AQ50" s="558"/>
      <c r="AU50" s="539" t="s">
        <v>51</v>
      </c>
      <c r="AV50" s="609">
        <v>1.1399999999999999</v>
      </c>
      <c r="AW50" s="610">
        <v>2.57</v>
      </c>
      <c r="AX50" s="611">
        <v>0.84</v>
      </c>
      <c r="AZ50" s="732" t="s">
        <v>620</v>
      </c>
      <c r="BA50" s="728" t="s">
        <v>624</v>
      </c>
      <c r="BB50" s="728"/>
      <c r="BC50" s="728"/>
      <c r="BD50" s="733"/>
      <c r="BE50" s="373"/>
    </row>
    <row r="51" spans="3:58" ht="27.95" customHeight="1" thickBot="1" x14ac:dyDescent="0.3">
      <c r="F51" s="378"/>
      <c r="G51" s="378"/>
      <c r="H51" s="378"/>
      <c r="L51" s="1617"/>
      <c r="M51" s="1618"/>
      <c r="N51" s="1618"/>
      <c r="O51" s="1618"/>
      <c r="P51" s="1618"/>
      <c r="Q51" s="1619"/>
      <c r="AI51" s="412"/>
      <c r="AJ51" s="1621"/>
      <c r="AK51" s="1621"/>
      <c r="AL51" s="1621"/>
      <c r="AM51" s="1621"/>
      <c r="AN51" s="1621"/>
      <c r="AO51" s="437"/>
      <c r="AP51" s="418"/>
      <c r="AQ51" s="558"/>
      <c r="AU51" s="539" t="s">
        <v>52</v>
      </c>
      <c r="AV51" s="609">
        <v>3.89</v>
      </c>
      <c r="AW51" s="610">
        <v>8.18</v>
      </c>
      <c r="AX51" s="611">
        <v>0.8</v>
      </c>
      <c r="AZ51" s="751" t="s">
        <v>621</v>
      </c>
      <c r="BA51" s="735" t="s">
        <v>622</v>
      </c>
      <c r="BB51" s="735"/>
      <c r="BC51" s="202">
        <v>5</v>
      </c>
      <c r="BD51" s="736" t="s">
        <v>623</v>
      </c>
      <c r="BE51" s="394"/>
    </row>
    <row r="52" spans="3:58" ht="27.95" customHeight="1" thickBot="1" x14ac:dyDescent="0.3">
      <c r="L52" s="855"/>
      <c r="M52" s="1336" t="s">
        <v>750</v>
      </c>
      <c r="N52" s="859" t="s">
        <v>751</v>
      </c>
      <c r="O52" s="399"/>
      <c r="P52" s="399"/>
      <c r="Q52" s="857"/>
      <c r="AI52" s="412"/>
      <c r="AJ52" s="1622" t="s">
        <v>63</v>
      </c>
      <c r="AK52" s="1622"/>
      <c r="AL52" s="1622"/>
      <c r="AM52" s="1622"/>
      <c r="AN52" s="1622"/>
      <c r="AO52" s="541" t="s">
        <v>578</v>
      </c>
      <c r="AP52" s="296"/>
      <c r="AQ52" s="558"/>
      <c r="AU52" s="540" t="s">
        <v>263</v>
      </c>
      <c r="AV52" s="612">
        <v>0.31</v>
      </c>
      <c r="AW52" s="613">
        <v>0.51</v>
      </c>
      <c r="AX52" s="614">
        <v>1.1200000000000001</v>
      </c>
      <c r="BA52" s="400"/>
      <c r="BB52" s="400"/>
      <c r="BC52" s="400"/>
      <c r="BD52" s="400"/>
      <c r="BE52" s="395"/>
    </row>
    <row r="53" spans="3:58" ht="27.95" customHeight="1" x14ac:dyDescent="0.25">
      <c r="L53" s="858" t="s">
        <v>737</v>
      </c>
      <c r="M53" s="1345">
        <f>Q35</f>
        <v>0</v>
      </c>
      <c r="N53" s="1347">
        <f>Q34</f>
        <v>0</v>
      </c>
      <c r="O53" s="860" t="s">
        <v>738</v>
      </c>
      <c r="P53" s="1348">
        <v>0</v>
      </c>
      <c r="Q53" s="1349">
        <v>0</v>
      </c>
      <c r="AI53" s="412"/>
      <c r="AJ53" s="1613" t="s">
        <v>72</v>
      </c>
      <c r="AK53" s="1613"/>
      <c r="AL53" s="1613"/>
      <c r="AM53" s="1613"/>
      <c r="AN53" s="1620"/>
      <c r="AO53" s="1559" t="s">
        <v>11</v>
      </c>
      <c r="AP53" s="276"/>
      <c r="AQ53" s="558"/>
      <c r="AU53" s="401"/>
      <c r="AV53" s="402"/>
      <c r="AW53" s="402"/>
      <c r="AX53" s="402"/>
      <c r="BA53" s="400"/>
      <c r="BB53" s="400"/>
      <c r="BC53" s="400"/>
      <c r="BD53" s="400"/>
      <c r="BE53" s="378"/>
    </row>
    <row r="54" spans="3:58" ht="27.95" customHeight="1" x14ac:dyDescent="0.25">
      <c r="L54" s="858" t="s">
        <v>739</v>
      </c>
      <c r="M54" s="1345">
        <f>IF(P35&gt;0,P35,M55/AV24*AV25)</f>
        <v>0</v>
      </c>
      <c r="N54" s="1260">
        <f>IF(P34&gt;0,P34,N55/AV24*AV25)</f>
        <v>0</v>
      </c>
      <c r="O54" s="860" t="s">
        <v>740</v>
      </c>
      <c r="P54" s="1348">
        <f>M54/3*0.17</f>
        <v>0</v>
      </c>
      <c r="Q54" s="1349">
        <f>N54/3*0.17</f>
        <v>0</v>
      </c>
      <c r="AI54" s="412"/>
      <c r="AJ54" s="1613" t="s">
        <v>73</v>
      </c>
      <c r="AK54" s="1613"/>
      <c r="AL54" s="1613"/>
      <c r="AM54" s="1613"/>
      <c r="AN54" s="1613"/>
      <c r="AO54" s="1559" t="s">
        <v>11</v>
      </c>
      <c r="AP54" s="276"/>
      <c r="AQ54" s="558"/>
      <c r="BE54" s="378"/>
    </row>
    <row r="55" spans="3:58" ht="27.95" customHeight="1" x14ac:dyDescent="0.25">
      <c r="L55" s="858" t="s">
        <v>749</v>
      </c>
      <c r="M55" s="1345">
        <f>O35</f>
        <v>0</v>
      </c>
      <c r="N55" s="1260">
        <f>O34</f>
        <v>0</v>
      </c>
      <c r="O55" s="860" t="s">
        <v>741</v>
      </c>
      <c r="P55" s="1348">
        <f>M54/3*0.03</f>
        <v>0</v>
      </c>
      <c r="Q55" s="1349">
        <f>N54/3*0.03</f>
        <v>0</v>
      </c>
      <c r="AI55" s="412"/>
      <c r="AJ55" s="1613" t="s">
        <v>69</v>
      </c>
      <c r="AK55" s="1613"/>
      <c r="AL55" s="1613"/>
      <c r="AM55" s="1613"/>
      <c r="AN55" s="1613"/>
      <c r="AO55" s="1559" t="s">
        <v>11</v>
      </c>
      <c r="AP55" s="276"/>
      <c r="AQ55" s="558"/>
      <c r="BE55" s="378"/>
    </row>
    <row r="56" spans="3:58" ht="27.95" customHeight="1" x14ac:dyDescent="0.35">
      <c r="J56" s="439"/>
      <c r="K56" s="439"/>
      <c r="L56" s="863" t="s">
        <v>712</v>
      </c>
      <c r="M56" s="1346">
        <f>M54+Zuschlag!$B$35*Zuschlag!$B$34*P54</f>
        <v>0</v>
      </c>
      <c r="N56" s="1346">
        <f>N54+Zuschlag!$B$35*Zuschlag!$B$34*Q54</f>
        <v>0</v>
      </c>
      <c r="O56" s="865" t="s">
        <v>715</v>
      </c>
      <c r="P56" s="866">
        <f>M53/Zuschlag!$B$22</f>
        <v>0</v>
      </c>
      <c r="Q56" s="1342">
        <f>N53/Zuschlag!$B$22</f>
        <v>0</v>
      </c>
      <c r="R56" s="439"/>
      <c r="S56" s="439"/>
      <c r="T56" s="439"/>
      <c r="U56" s="439"/>
      <c r="V56" s="439"/>
      <c r="W56" s="439"/>
      <c r="X56" s="439"/>
      <c r="Y56" s="439"/>
      <c r="Z56" s="439"/>
      <c r="AA56" s="439"/>
      <c r="AB56" s="439"/>
      <c r="AC56" s="439"/>
      <c r="AD56" s="439"/>
      <c r="AE56" s="439"/>
      <c r="AF56" s="439"/>
      <c r="AG56" s="439"/>
      <c r="AH56" s="439"/>
      <c r="AI56" s="532"/>
      <c r="AJ56" s="1613" t="s">
        <v>120</v>
      </c>
      <c r="AK56" s="1613"/>
      <c r="AL56" s="1613"/>
      <c r="AM56" s="1613"/>
      <c r="AN56" s="1613"/>
      <c r="AO56" s="1559" t="s">
        <v>11</v>
      </c>
      <c r="AP56" s="276"/>
      <c r="AQ56" s="558"/>
      <c r="BD56" s="378"/>
      <c r="BE56" s="378"/>
    </row>
    <row r="57" spans="3:58" ht="27.95" customHeight="1" x14ac:dyDescent="0.35">
      <c r="J57" s="439"/>
      <c r="K57" s="439"/>
      <c r="L57" s="863" t="s">
        <v>713</v>
      </c>
      <c r="M57" s="1346">
        <f>P53+Zuschlag!$B$36*M54+Zuschlag!$B$37*P55</f>
        <v>0</v>
      </c>
      <c r="N57" s="1346">
        <f>Q53+Zuschlag!$B$36*N54+Zuschlag!$B$37*Q55</f>
        <v>0</v>
      </c>
      <c r="O57" s="865" t="s">
        <v>716</v>
      </c>
      <c r="P57" s="866">
        <f>M56/Zuschlag!$B$23</f>
        <v>0</v>
      </c>
      <c r="Q57" s="1342">
        <f>N56/Zuschlag!$B$23</f>
        <v>0</v>
      </c>
      <c r="R57" s="439"/>
      <c r="S57" s="439"/>
      <c r="T57" s="439"/>
      <c r="U57" s="439"/>
      <c r="V57" s="439"/>
      <c r="W57" s="439"/>
      <c r="X57" s="439"/>
      <c r="Y57" s="439"/>
      <c r="Z57" s="439"/>
      <c r="AA57" s="439"/>
      <c r="AB57" s="439"/>
      <c r="AC57" s="439"/>
      <c r="AD57" s="439"/>
      <c r="AE57" s="439"/>
      <c r="AF57" s="439"/>
      <c r="AG57" s="439"/>
      <c r="AH57" s="439"/>
      <c r="AI57" s="532"/>
      <c r="AJ57" s="1613" t="s">
        <v>70</v>
      </c>
      <c r="AK57" s="1613"/>
      <c r="AL57" s="1613"/>
      <c r="AM57" s="1613"/>
      <c r="AN57" s="1613"/>
      <c r="AO57" s="1559" t="s">
        <v>11</v>
      </c>
      <c r="AP57" s="276"/>
      <c r="AQ57" s="558"/>
      <c r="AR57" s="396"/>
      <c r="AU57" s="375" t="s">
        <v>579</v>
      </c>
      <c r="BD57" s="378"/>
      <c r="BE57" s="378"/>
    </row>
    <row r="58" spans="3:58" ht="27.95" customHeight="1" x14ac:dyDescent="0.35">
      <c r="J58" s="439"/>
      <c r="K58" s="439"/>
      <c r="L58" s="863" t="s">
        <v>714</v>
      </c>
      <c r="M58" s="1346">
        <f>P55</f>
        <v>0</v>
      </c>
      <c r="N58" s="1346">
        <f>Q55</f>
        <v>0</v>
      </c>
      <c r="O58" s="865" t="s">
        <v>717</v>
      </c>
      <c r="P58" s="866">
        <f>M57/Zuschlag!$B$24</f>
        <v>0</v>
      </c>
      <c r="Q58" s="1342">
        <f>N57/Zuschlag!$B$24</f>
        <v>0</v>
      </c>
      <c r="R58" s="439"/>
      <c r="S58" s="439"/>
      <c r="T58" s="439"/>
      <c r="U58" s="439"/>
      <c r="V58" s="439"/>
      <c r="W58" s="439"/>
      <c r="X58" s="439"/>
      <c r="Y58" s="439"/>
      <c r="Z58" s="439"/>
      <c r="AA58" s="439"/>
      <c r="AB58" s="439"/>
      <c r="AC58" s="439"/>
      <c r="AD58" s="439"/>
      <c r="AE58" s="439"/>
      <c r="AF58" s="439"/>
      <c r="AG58" s="439"/>
      <c r="AH58" s="439"/>
      <c r="AI58" s="532"/>
      <c r="AJ58" s="1613" t="s">
        <v>71</v>
      </c>
      <c r="AK58" s="1613"/>
      <c r="AL58" s="1613"/>
      <c r="AM58" s="1613"/>
      <c r="AN58" s="1613"/>
      <c r="AO58" s="1559" t="s">
        <v>11</v>
      </c>
      <c r="AP58" s="276"/>
      <c r="AQ58" s="558"/>
      <c r="AU58" s="403" t="s">
        <v>16</v>
      </c>
      <c r="AV58" s="9" t="s">
        <v>26</v>
      </c>
      <c r="AW58" s="9" t="s">
        <v>17</v>
      </c>
      <c r="AX58" s="9" t="s">
        <v>18</v>
      </c>
      <c r="AY58" s="9" t="s">
        <v>19</v>
      </c>
      <c r="AZ58" s="42" t="s">
        <v>22</v>
      </c>
      <c r="BA58" s="42" t="s">
        <v>24</v>
      </c>
      <c r="BB58" s="43" t="s">
        <v>21</v>
      </c>
      <c r="BC58" s="542" t="s">
        <v>25</v>
      </c>
      <c r="BD58" s="43" t="s">
        <v>588</v>
      </c>
      <c r="BE58" s="545"/>
    </row>
    <row r="59" spans="3:58" ht="27.95" customHeight="1" x14ac:dyDescent="0.35">
      <c r="J59" s="439"/>
      <c r="K59" s="439"/>
      <c r="L59" s="868"/>
      <c r="M59" s="378"/>
      <c r="N59" s="378"/>
      <c r="O59" s="865" t="s">
        <v>718</v>
      </c>
      <c r="P59" s="866">
        <f>M58/Zuschlag!$B$21</f>
        <v>0</v>
      </c>
      <c r="Q59" s="1342">
        <f>N58/Zuschlag!$B$21</f>
        <v>0</v>
      </c>
      <c r="R59" s="439"/>
      <c r="S59" s="439"/>
      <c r="T59" s="439"/>
      <c r="U59" s="439"/>
      <c r="V59" s="439"/>
      <c r="W59" s="439"/>
      <c r="X59" s="439"/>
      <c r="Y59" s="439"/>
      <c r="Z59" s="439"/>
      <c r="AA59" s="439"/>
      <c r="AB59" s="439"/>
      <c r="AC59" s="439"/>
      <c r="AD59" s="439"/>
      <c r="AE59" s="439"/>
      <c r="AF59" s="439"/>
      <c r="AG59" s="439"/>
      <c r="AH59" s="439"/>
      <c r="AI59" s="532"/>
      <c r="AJ59" s="1613" t="s">
        <v>74</v>
      </c>
      <c r="AK59" s="1613"/>
      <c r="AL59" s="1613"/>
      <c r="AM59" s="1613"/>
      <c r="AN59" s="1613"/>
      <c r="AO59" s="1559" t="s">
        <v>11</v>
      </c>
      <c r="AP59" s="276"/>
      <c r="AQ59" s="558"/>
      <c r="AU59" s="376"/>
      <c r="AV59" s="376"/>
      <c r="AW59" s="404">
        <f>AW60</f>
        <v>0.30000000000000004</v>
      </c>
      <c r="AX59" s="404">
        <f>AX60</f>
        <v>0.4</v>
      </c>
      <c r="AY59" s="404">
        <f>AY60</f>
        <v>0.4</v>
      </c>
      <c r="AZ59" s="405"/>
      <c r="BA59" s="376"/>
      <c r="BB59" s="376"/>
      <c r="BC59" s="543"/>
      <c r="BD59" s="407"/>
      <c r="BE59" s="378"/>
    </row>
    <row r="60" spans="3:58" ht="27.95" customHeight="1" x14ac:dyDescent="0.3">
      <c r="J60" s="441"/>
      <c r="K60" s="441"/>
      <c r="L60" s="863" t="s">
        <v>719</v>
      </c>
      <c r="M60" s="666" t="e">
        <f>P57/P56</f>
        <v>#DIV/0!</v>
      </c>
      <c r="N60" s="666" t="e">
        <f>Q57/Q56</f>
        <v>#DIV/0!</v>
      </c>
      <c r="O60" s="378"/>
      <c r="P60" s="459"/>
      <c r="Q60" s="867"/>
      <c r="R60" s="441"/>
      <c r="S60" s="441"/>
      <c r="T60" s="441"/>
      <c r="U60" s="441"/>
      <c r="V60" s="441"/>
      <c r="W60" s="441"/>
      <c r="X60" s="441"/>
      <c r="Y60" s="441"/>
      <c r="Z60" s="441"/>
      <c r="AA60" s="441"/>
      <c r="AB60" s="441"/>
      <c r="AC60" s="441"/>
      <c r="AD60" s="441"/>
      <c r="AE60" s="441"/>
      <c r="AF60" s="441"/>
      <c r="AG60" s="441"/>
      <c r="AH60" s="441"/>
      <c r="AI60" s="532"/>
      <c r="AJ60" s="1613" t="s">
        <v>1148</v>
      </c>
      <c r="AK60" s="1613"/>
      <c r="AL60" s="1613"/>
      <c r="AM60" s="1613"/>
      <c r="AN60" s="1613"/>
      <c r="AO60" s="1559" t="s">
        <v>11</v>
      </c>
      <c r="AP60" s="276"/>
      <c r="AQ60" s="558"/>
      <c r="AU60" s="552" t="str">
        <f>Milchverarbeitung!AJ25</f>
        <v>Wassersparmassnahmen</v>
      </c>
      <c r="AV60" s="547">
        <f>BC60/BD60</f>
        <v>0</v>
      </c>
      <c r="AW60" s="196">
        <f t="shared" ref="AW60:AW65" si="1">1.1-Grün</f>
        <v>0.30000000000000004</v>
      </c>
      <c r="AX60" s="196">
        <f t="shared" ref="AX60:AX65" si="2">1.1-Rot-AW60</f>
        <v>0.4</v>
      </c>
      <c r="AY60" s="196">
        <f t="shared" ref="AY60:AY65" si="3">1.1-AW60-AX60</f>
        <v>0.4</v>
      </c>
      <c r="AZ60" s="548">
        <v>0.8</v>
      </c>
      <c r="BA60" s="549">
        <f t="shared" ref="BA60:BA65" si="4">1*AZ60</f>
        <v>0.8</v>
      </c>
      <c r="BB60" s="550">
        <f t="shared" ref="BB60:BB65" si="5">AV60*AZ60</f>
        <v>0</v>
      </c>
      <c r="BC60" s="544">
        <f>COUNTIF(AO26:AO32,"Ja")</f>
        <v>0</v>
      </c>
      <c r="BD60" s="407">
        <f>COUNTA(AO26:AO32)-COUNTIF(AO26:AO32,AU71)</f>
        <v>7</v>
      </c>
      <c r="BE60" s="397"/>
    </row>
    <row r="61" spans="3:58" ht="27.95" customHeight="1" thickBot="1" x14ac:dyDescent="0.35">
      <c r="L61" s="863" t="s">
        <v>720</v>
      </c>
      <c r="M61" s="666" t="e">
        <f>P58/P56</f>
        <v>#DIV/0!</v>
      </c>
      <c r="N61" s="666" t="e">
        <f>Q58/Q56</f>
        <v>#DIV/0!</v>
      </c>
      <c r="O61" s="378"/>
      <c r="P61" s="378"/>
      <c r="Q61" s="867"/>
      <c r="AI61" s="533"/>
      <c r="AJ61" s="1621"/>
      <c r="AK61" s="1621"/>
      <c r="AL61" s="1621"/>
      <c r="AM61" s="1621"/>
      <c r="AN61" s="1621"/>
      <c r="AO61" s="437"/>
      <c r="AP61" s="437"/>
      <c r="AQ61" s="558"/>
      <c r="AU61" s="553" t="str">
        <f>Milchverarbeitung!AJ34</f>
        <v>Verluste</v>
      </c>
      <c r="AV61" s="547">
        <f t="shared" ref="AV61:AV65" si="6">BC61/BD61</f>
        <v>0</v>
      </c>
      <c r="AW61" s="196">
        <f t="shared" si="1"/>
        <v>0.30000000000000004</v>
      </c>
      <c r="AX61" s="196">
        <f t="shared" si="2"/>
        <v>0.4</v>
      </c>
      <c r="AY61" s="196">
        <f t="shared" si="3"/>
        <v>0.4</v>
      </c>
      <c r="AZ61" s="548">
        <v>1</v>
      </c>
      <c r="BA61" s="549">
        <f t="shared" si="4"/>
        <v>1</v>
      </c>
      <c r="BB61" s="550">
        <f t="shared" si="5"/>
        <v>0</v>
      </c>
      <c r="BC61" s="544">
        <f>COUNTIF(AO35:AO43,"Ja")</f>
        <v>0</v>
      </c>
      <c r="BD61" s="407">
        <f>COUNTA(AO35:AO43)-COUNTIF(AO35:AO43,AU71)</f>
        <v>9</v>
      </c>
      <c r="BE61" s="397"/>
    </row>
    <row r="62" spans="3:58" ht="27.95" customHeight="1" x14ac:dyDescent="0.25">
      <c r="L62" s="863" t="s">
        <v>721</v>
      </c>
      <c r="M62" s="666" t="e">
        <f>P59/P56</f>
        <v>#DIV/0!</v>
      </c>
      <c r="N62" s="666" t="e">
        <f>Q59/Q56</f>
        <v>#DIV/0!</v>
      </c>
      <c r="O62" s="1339" t="s">
        <v>752</v>
      </c>
      <c r="P62" s="879">
        <f>IFERROR(IF(M54&gt;0,Zuschlag!$B$28+Zuschlag!$B$29*M64+Zuschlag!$B$31*M65+Zuschlag!$B$30*M66,0),0)</f>
        <v>0</v>
      </c>
      <c r="Q62" s="867"/>
      <c r="AI62" s="412"/>
      <c r="AJ62" s="568" t="s">
        <v>118</v>
      </c>
      <c r="AK62" s="568"/>
      <c r="AL62" s="568"/>
      <c r="AM62" s="568"/>
      <c r="AN62" s="568"/>
      <c r="AO62" s="541" t="s">
        <v>578</v>
      </c>
      <c r="AP62" s="296"/>
      <c r="AQ62" s="558"/>
      <c r="AU62" s="552" t="str">
        <f>Milchverarbeitung!AJ45</f>
        <v>Verluste Konzentrierung / Trocknung</v>
      </c>
      <c r="AV62" s="547">
        <f t="shared" si="6"/>
        <v>0</v>
      </c>
      <c r="AW62" s="196">
        <f t="shared" si="1"/>
        <v>0.30000000000000004</v>
      </c>
      <c r="AX62" s="196">
        <f t="shared" si="2"/>
        <v>0.4</v>
      </c>
      <c r="AY62" s="196">
        <f t="shared" si="3"/>
        <v>0.4</v>
      </c>
      <c r="AZ62" s="548">
        <v>1</v>
      </c>
      <c r="BA62" s="549">
        <f t="shared" si="4"/>
        <v>1</v>
      </c>
      <c r="BB62" s="550">
        <f t="shared" si="5"/>
        <v>0</v>
      </c>
      <c r="BC62" s="544">
        <f>COUNTIF(AO46:AO50,"Ja")</f>
        <v>0</v>
      </c>
      <c r="BD62" s="407">
        <f>COUNTA(AO46:AO50)-COUNTIF(AO46:AO50,AU71)</f>
        <v>5</v>
      </c>
      <c r="BE62" s="397"/>
    </row>
    <row r="63" spans="3:58" ht="27.95" customHeight="1" x14ac:dyDescent="0.25">
      <c r="L63" s="1343" t="s">
        <v>742</v>
      </c>
      <c r="M63" s="378"/>
      <c r="N63" s="378"/>
      <c r="O63" s="1340" t="s">
        <v>753</v>
      </c>
      <c r="P63" s="879">
        <f>IFERROR(IF(N54&gt;0,Zuschlag!$B$28+Zuschlag!$B$29*N64+Zuschlag!$B$31*N65+Zuschlag!$B$30*N66,0),0)</f>
        <v>0</v>
      </c>
      <c r="Q63" s="867"/>
      <c r="AI63" s="412"/>
      <c r="AJ63" s="1613" t="s">
        <v>107</v>
      </c>
      <c r="AK63" s="1613"/>
      <c r="AL63" s="1613"/>
      <c r="AM63" s="1613"/>
      <c r="AN63" s="1620"/>
      <c r="AO63" s="1559" t="s">
        <v>11</v>
      </c>
      <c r="AP63" s="276"/>
      <c r="AQ63" s="558"/>
      <c r="AU63" s="552" t="str">
        <f>Milchverarbeitung!AJ52</f>
        <v>Reinigung</v>
      </c>
      <c r="AV63" s="547">
        <f t="shared" si="6"/>
        <v>0</v>
      </c>
      <c r="AW63" s="196">
        <f t="shared" si="1"/>
        <v>0.30000000000000004</v>
      </c>
      <c r="AX63" s="196">
        <f t="shared" si="2"/>
        <v>0.4</v>
      </c>
      <c r="AY63" s="196">
        <f t="shared" si="3"/>
        <v>0.4</v>
      </c>
      <c r="AZ63" s="548">
        <v>0.7</v>
      </c>
      <c r="BA63" s="549">
        <f t="shared" si="4"/>
        <v>0.7</v>
      </c>
      <c r="BB63" s="550">
        <f t="shared" si="5"/>
        <v>0</v>
      </c>
      <c r="BC63" s="544">
        <f>COUNTIF(AO53:AO60,"Ja")</f>
        <v>0</v>
      </c>
      <c r="BD63" s="407">
        <f>COUNTA(AO53:AO60)-COUNTIF(AO53:AO60,AU71)</f>
        <v>8</v>
      </c>
      <c r="BE63" s="397"/>
    </row>
    <row r="64" spans="3:58" ht="27.95" customHeight="1" x14ac:dyDescent="0.25">
      <c r="L64" s="863" t="s">
        <v>719</v>
      </c>
      <c r="M64" s="666" t="e">
        <f t="shared" ref="M64:N66" si="7">IF(M60&lt;1,1,M60)</f>
        <v>#DIV/0!</v>
      </c>
      <c r="N64" s="666" t="e">
        <f t="shared" si="7"/>
        <v>#DIV/0!</v>
      </c>
      <c r="O64" s="378"/>
      <c r="P64" s="378"/>
      <c r="Q64" s="867"/>
      <c r="AI64" s="412"/>
      <c r="AJ64" s="1613" t="s">
        <v>121</v>
      </c>
      <c r="AK64" s="1613"/>
      <c r="AL64" s="1613"/>
      <c r="AM64" s="1613"/>
      <c r="AN64" s="1620"/>
      <c r="AO64" s="1559" t="s">
        <v>11</v>
      </c>
      <c r="AP64" s="276"/>
      <c r="AQ64" s="558"/>
      <c r="AU64" s="552" t="str">
        <f>Milchverarbeitung!AJ62</f>
        <v>Abfall/Nebenprodukte</v>
      </c>
      <c r="AV64" s="547">
        <f t="shared" si="6"/>
        <v>0</v>
      </c>
      <c r="AW64" s="196">
        <f t="shared" si="1"/>
        <v>0.30000000000000004</v>
      </c>
      <c r="AX64" s="196">
        <f t="shared" si="2"/>
        <v>0.4</v>
      </c>
      <c r="AY64" s="196">
        <f t="shared" si="3"/>
        <v>0.4</v>
      </c>
      <c r="AZ64" s="548">
        <v>1</v>
      </c>
      <c r="BA64" s="549">
        <f t="shared" si="4"/>
        <v>1</v>
      </c>
      <c r="BB64" s="550">
        <f t="shared" si="5"/>
        <v>0</v>
      </c>
      <c r="BC64" s="544">
        <f>COUNTIF(AO63:AO66,"Ja")</f>
        <v>0</v>
      </c>
      <c r="BD64" s="407">
        <f>COUNTA(AO63:AO66)-COUNTIF(AO63:AO66,AU71)</f>
        <v>4</v>
      </c>
      <c r="BE64" s="397"/>
    </row>
    <row r="65" spans="10:57" ht="27.95" customHeight="1" x14ac:dyDescent="0.25">
      <c r="L65" s="863" t="s">
        <v>720</v>
      </c>
      <c r="M65" s="666" t="e">
        <f t="shared" si="7"/>
        <v>#DIV/0!</v>
      </c>
      <c r="N65" s="666" t="e">
        <f t="shared" si="7"/>
        <v>#DIV/0!</v>
      </c>
      <c r="O65" s="378"/>
      <c r="P65" s="378"/>
      <c r="Q65" s="867"/>
      <c r="AI65" s="412"/>
      <c r="AJ65" s="1613" t="s">
        <v>122</v>
      </c>
      <c r="AK65" s="1613"/>
      <c r="AL65" s="1613"/>
      <c r="AM65" s="1613"/>
      <c r="AN65" s="1620"/>
      <c r="AO65" s="1559" t="s">
        <v>11</v>
      </c>
      <c r="AP65" s="276"/>
      <c r="AQ65" s="413"/>
      <c r="AU65" s="552" t="str">
        <f>Milchverarbeitung!AJ68</f>
        <v>Energieverbrauch</v>
      </c>
      <c r="AV65" s="547">
        <f t="shared" si="6"/>
        <v>0</v>
      </c>
      <c r="AW65" s="196">
        <f t="shared" si="1"/>
        <v>0.30000000000000004</v>
      </c>
      <c r="AX65" s="196">
        <f t="shared" si="2"/>
        <v>0.4</v>
      </c>
      <c r="AY65" s="196">
        <f t="shared" si="3"/>
        <v>0.4</v>
      </c>
      <c r="AZ65" s="548">
        <v>1</v>
      </c>
      <c r="BA65" s="549">
        <f t="shared" si="4"/>
        <v>1</v>
      </c>
      <c r="BB65" s="550">
        <f t="shared" si="5"/>
        <v>0</v>
      </c>
      <c r="BC65" s="544">
        <f>COUNTIF(AO69:AO76,"Ja")</f>
        <v>0</v>
      </c>
      <c r="BD65" s="407">
        <f>COUNTA(AO69:AO76)-COUNTIF(AO69:AO76,AU71)</f>
        <v>8</v>
      </c>
      <c r="BE65" s="397"/>
    </row>
    <row r="66" spans="10:57" ht="27.95" customHeight="1" thickBot="1" x14ac:dyDescent="0.3">
      <c r="L66" s="1344" t="s">
        <v>721</v>
      </c>
      <c r="M66" s="886" t="e">
        <f t="shared" si="7"/>
        <v>#DIV/0!</v>
      </c>
      <c r="N66" s="886" t="e">
        <f t="shared" si="7"/>
        <v>#DIV/0!</v>
      </c>
      <c r="O66" s="870"/>
      <c r="P66" s="870"/>
      <c r="Q66" s="871"/>
      <c r="AI66" s="412"/>
      <c r="AJ66" s="1613" t="s">
        <v>119</v>
      </c>
      <c r="AK66" s="1613"/>
      <c r="AL66" s="1613"/>
      <c r="AM66" s="1613"/>
      <c r="AN66" s="1620"/>
      <c r="AO66" s="1559" t="s">
        <v>11</v>
      </c>
      <c r="AP66" s="276"/>
      <c r="AQ66" s="558"/>
      <c r="AU66" s="407"/>
      <c r="AV66" s="407"/>
      <c r="AW66" s="404">
        <f>AW64</f>
        <v>0.30000000000000004</v>
      </c>
      <c r="AX66" s="404">
        <f>AX64</f>
        <v>0.4</v>
      </c>
      <c r="AY66" s="404">
        <f>AY64</f>
        <v>0.4</v>
      </c>
      <c r="AZ66" s="551"/>
      <c r="BA66" s="407"/>
      <c r="BB66" s="407"/>
      <c r="BC66" s="544"/>
      <c r="BD66" s="407"/>
      <c r="BE66" s="378"/>
    </row>
    <row r="67" spans="10:57" ht="27.95" customHeight="1" thickBot="1" x14ac:dyDescent="0.3">
      <c r="L67" s="399"/>
      <c r="M67" s="399"/>
      <c r="N67" s="399"/>
      <c r="O67" s="378"/>
      <c r="P67" s="378"/>
      <c r="Q67" s="378"/>
      <c r="AI67" s="412"/>
      <c r="AJ67" s="567"/>
      <c r="AK67" s="567"/>
      <c r="AL67" s="567"/>
      <c r="AM67" s="567"/>
      <c r="AN67" s="567"/>
      <c r="AO67" s="418"/>
      <c r="AP67" s="418"/>
      <c r="AQ67" s="558"/>
      <c r="AZ67" s="554" t="s">
        <v>23</v>
      </c>
      <c r="BA67" s="554">
        <f>SUM(BA59:BA66)</f>
        <v>5.5</v>
      </c>
      <c r="BB67" s="555">
        <f>SUM(BB59:BB66)</f>
        <v>0</v>
      </c>
      <c r="BC67" s="546">
        <f>SUM(BC59:BC66)</f>
        <v>0</v>
      </c>
      <c r="BD67" s="251"/>
      <c r="BE67" s="251"/>
    </row>
    <row r="68" spans="10:57" ht="27.95" customHeight="1" x14ac:dyDescent="0.25">
      <c r="J68" s="399"/>
      <c r="K68" s="399"/>
      <c r="L68" s="399"/>
      <c r="M68" s="399"/>
      <c r="N68" s="399"/>
      <c r="O68" s="399"/>
      <c r="P68" s="399"/>
      <c r="Q68" s="399"/>
      <c r="R68" s="399"/>
      <c r="S68" s="399"/>
      <c r="T68" s="399"/>
      <c r="U68" s="399"/>
      <c r="V68" s="399"/>
      <c r="W68" s="399"/>
      <c r="X68" s="399"/>
      <c r="Y68" s="399"/>
      <c r="Z68" s="399"/>
      <c r="AA68" s="399"/>
      <c r="AB68" s="399"/>
      <c r="AC68" s="399"/>
      <c r="AD68" s="399"/>
      <c r="AE68" s="399"/>
      <c r="AF68" s="399"/>
      <c r="AG68" s="399"/>
      <c r="AH68" s="399"/>
      <c r="AI68" s="412"/>
      <c r="AJ68" s="568" t="s">
        <v>143</v>
      </c>
      <c r="AK68" s="568"/>
      <c r="AL68" s="568"/>
      <c r="AM68" s="568"/>
      <c r="AN68" s="568"/>
      <c r="AO68" s="541" t="s">
        <v>578</v>
      </c>
      <c r="AP68" s="296"/>
      <c r="AQ68" s="558"/>
      <c r="AU68" s="566" t="s">
        <v>580</v>
      </c>
      <c r="AZ68" s="546" t="s">
        <v>21</v>
      </c>
      <c r="BA68" s="556"/>
      <c r="BB68" s="556">
        <f>BB67/BA67</f>
        <v>0</v>
      </c>
      <c r="BC68" s="546"/>
      <c r="BD68" s="111"/>
      <c r="BE68" s="111"/>
    </row>
    <row r="69" spans="10:57" ht="27.95" customHeight="1" x14ac:dyDescent="0.25">
      <c r="J69" s="399"/>
      <c r="K69" s="399"/>
      <c r="L69" s="399"/>
      <c r="M69" s="399"/>
      <c r="N69" s="399"/>
      <c r="O69" s="399"/>
      <c r="P69" s="399"/>
      <c r="Q69" s="399"/>
      <c r="R69" s="399"/>
      <c r="S69" s="399"/>
      <c r="T69" s="399"/>
      <c r="U69" s="399"/>
      <c r="V69" s="399"/>
      <c r="W69" s="399"/>
      <c r="X69" s="399"/>
      <c r="Y69" s="399"/>
      <c r="Z69" s="399"/>
      <c r="AA69" s="399"/>
      <c r="AB69" s="399"/>
      <c r="AC69" s="399"/>
      <c r="AD69" s="399"/>
      <c r="AE69" s="399"/>
      <c r="AF69" s="399"/>
      <c r="AG69" s="399"/>
      <c r="AH69" s="399"/>
      <c r="AI69" s="412"/>
      <c r="AJ69" s="1613" t="s">
        <v>162</v>
      </c>
      <c r="AK69" s="1613"/>
      <c r="AL69" s="1613"/>
      <c r="AM69" s="1613"/>
      <c r="AN69" s="1620"/>
      <c r="AO69" s="1559" t="s">
        <v>11</v>
      </c>
      <c r="AP69" s="276"/>
      <c r="AQ69" s="558"/>
      <c r="AU69" s="539" t="s">
        <v>10</v>
      </c>
      <c r="AZ69" s="564"/>
      <c r="BA69" s="565" t="s">
        <v>27</v>
      </c>
      <c r="BB69" s="563"/>
      <c r="BC69" s="546">
        <f>SUM(BD59:BD66)</f>
        <v>41</v>
      </c>
      <c r="BD69" s="111"/>
      <c r="BE69" s="111"/>
    </row>
    <row r="70" spans="10:57" ht="27.95" customHeight="1" x14ac:dyDescent="0.25">
      <c r="J70" s="399"/>
      <c r="K70" s="399"/>
      <c r="L70" s="399"/>
      <c r="M70" s="399"/>
      <c r="N70" s="399"/>
      <c r="O70" s="399"/>
      <c r="P70" s="399"/>
      <c r="Q70" s="399"/>
      <c r="R70" s="399"/>
      <c r="S70" s="399"/>
      <c r="T70" s="399"/>
      <c r="U70" s="399"/>
      <c r="V70" s="399"/>
      <c r="W70" s="399"/>
      <c r="X70" s="399"/>
      <c r="Y70" s="399"/>
      <c r="Z70" s="399"/>
      <c r="AA70" s="399"/>
      <c r="AB70" s="399"/>
      <c r="AC70" s="399"/>
      <c r="AD70" s="399"/>
      <c r="AE70" s="399"/>
      <c r="AF70" s="399"/>
      <c r="AG70" s="399"/>
      <c r="AH70" s="399"/>
      <c r="AI70" s="412"/>
      <c r="AJ70" s="1613" t="s">
        <v>163</v>
      </c>
      <c r="AK70" s="1613"/>
      <c r="AL70" s="1613"/>
      <c r="AM70" s="1613"/>
      <c r="AN70" s="1620"/>
      <c r="AO70" s="1559" t="s">
        <v>11</v>
      </c>
      <c r="AP70" s="276"/>
      <c r="AQ70" s="558"/>
      <c r="AU70" s="539" t="s">
        <v>11</v>
      </c>
      <c r="AZ70" s="112"/>
      <c r="BA70" s="112"/>
      <c r="BB70" s="112"/>
    </row>
    <row r="71" spans="10:57" ht="27.95" customHeight="1" thickBot="1" x14ac:dyDescent="0.3">
      <c r="J71" s="399"/>
      <c r="K71" s="399"/>
      <c r="L71" s="399"/>
      <c r="M71" s="399"/>
      <c r="N71" s="399"/>
      <c r="O71" s="399"/>
      <c r="P71" s="399"/>
      <c r="Q71" s="399"/>
      <c r="R71" s="399"/>
      <c r="S71" s="399"/>
      <c r="T71" s="399"/>
      <c r="U71" s="399"/>
      <c r="V71" s="399"/>
      <c r="W71" s="399"/>
      <c r="X71" s="399"/>
      <c r="Y71" s="399"/>
      <c r="Z71" s="399"/>
      <c r="AA71" s="399"/>
      <c r="AB71" s="399"/>
      <c r="AC71" s="399"/>
      <c r="AD71" s="399"/>
      <c r="AE71" s="399"/>
      <c r="AF71" s="399"/>
      <c r="AG71" s="399"/>
      <c r="AH71" s="399"/>
      <c r="AI71" s="412"/>
      <c r="AJ71" s="1613" t="s">
        <v>160</v>
      </c>
      <c r="AK71" s="1613"/>
      <c r="AL71" s="1613"/>
      <c r="AM71" s="1613"/>
      <c r="AN71" s="1620"/>
      <c r="AO71" s="1559" t="s">
        <v>11</v>
      </c>
      <c r="AP71" s="276"/>
      <c r="AQ71" s="558"/>
      <c r="AU71" s="540" t="s">
        <v>587</v>
      </c>
    </row>
    <row r="72" spans="10:57" ht="27.95" customHeight="1" x14ac:dyDescent="0.25">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c r="AG72" s="442"/>
      <c r="AH72" s="442"/>
      <c r="AI72" s="412"/>
      <c r="AJ72" s="1613" t="s">
        <v>161</v>
      </c>
      <c r="AK72" s="1613"/>
      <c r="AL72" s="1613"/>
      <c r="AM72" s="1613"/>
      <c r="AN72" s="1620"/>
      <c r="AO72" s="1559" t="s">
        <v>11</v>
      </c>
      <c r="AP72" s="438"/>
      <c r="AQ72" s="558"/>
    </row>
    <row r="73" spans="10:57" ht="27.95" customHeight="1" x14ac:dyDescent="0.25">
      <c r="J73" s="399"/>
      <c r="K73" s="399"/>
      <c r="L73" s="399"/>
      <c r="M73" s="399"/>
      <c r="N73" s="399"/>
      <c r="O73" s="399"/>
      <c r="P73" s="399"/>
      <c r="Q73" s="399"/>
      <c r="R73" s="399"/>
      <c r="S73" s="399"/>
      <c r="T73" s="399"/>
      <c r="U73" s="399"/>
      <c r="V73" s="399"/>
      <c r="W73" s="399"/>
      <c r="X73" s="399"/>
      <c r="Y73" s="399"/>
      <c r="Z73" s="399"/>
      <c r="AA73" s="399"/>
      <c r="AB73" s="399"/>
      <c r="AC73" s="399"/>
      <c r="AD73" s="399"/>
      <c r="AE73" s="399"/>
      <c r="AF73" s="399"/>
      <c r="AG73" s="399"/>
      <c r="AH73" s="399"/>
      <c r="AI73" s="559"/>
      <c r="AJ73" s="1613" t="s">
        <v>164</v>
      </c>
      <c r="AK73" s="1613"/>
      <c r="AL73" s="1613"/>
      <c r="AM73" s="1613"/>
      <c r="AN73" s="1620"/>
      <c r="AO73" s="1559" t="s">
        <v>11</v>
      </c>
      <c r="AP73" s="276"/>
      <c r="AQ73" s="558"/>
    </row>
    <row r="74" spans="10:57" ht="27.95" customHeight="1" x14ac:dyDescent="0.25">
      <c r="J74" s="399"/>
      <c r="K74" s="399"/>
      <c r="L74" s="399"/>
      <c r="M74" s="399"/>
      <c r="N74" s="399"/>
      <c r="O74" s="399"/>
      <c r="P74" s="399"/>
      <c r="Q74" s="399"/>
      <c r="R74" s="399"/>
      <c r="S74" s="399"/>
      <c r="T74" s="399"/>
      <c r="U74" s="399"/>
      <c r="V74" s="399"/>
      <c r="W74" s="399"/>
      <c r="X74" s="399"/>
      <c r="Y74" s="399"/>
      <c r="Z74" s="399"/>
      <c r="AA74" s="399"/>
      <c r="AB74" s="399"/>
      <c r="AC74" s="399"/>
      <c r="AD74" s="399"/>
      <c r="AE74" s="399"/>
      <c r="AF74" s="399"/>
      <c r="AG74" s="399"/>
      <c r="AH74" s="399"/>
      <c r="AI74" s="559"/>
      <c r="AJ74" s="1613" t="s">
        <v>283</v>
      </c>
      <c r="AK74" s="1613"/>
      <c r="AL74" s="1613"/>
      <c r="AM74" s="1613"/>
      <c r="AN74" s="1620"/>
      <c r="AO74" s="1559" t="s">
        <v>11</v>
      </c>
      <c r="AP74" s="276"/>
      <c r="AQ74" s="558"/>
      <c r="AR74" s="112"/>
    </row>
    <row r="75" spans="10:57" ht="27.95" customHeight="1" x14ac:dyDescent="0.25">
      <c r="J75" s="399"/>
      <c r="K75" s="399"/>
      <c r="L75" s="399"/>
      <c r="M75" s="399"/>
      <c r="N75" s="399"/>
      <c r="O75" s="399"/>
      <c r="P75" s="399"/>
      <c r="Q75" s="399"/>
      <c r="R75" s="399"/>
      <c r="S75" s="399"/>
      <c r="T75" s="399"/>
      <c r="U75" s="399"/>
      <c r="V75" s="399"/>
      <c r="W75" s="399"/>
      <c r="X75" s="399"/>
      <c r="Y75" s="399"/>
      <c r="Z75" s="399"/>
      <c r="AA75" s="399"/>
      <c r="AB75" s="399"/>
      <c r="AC75" s="399"/>
      <c r="AD75" s="399"/>
      <c r="AE75" s="399"/>
      <c r="AF75" s="399"/>
      <c r="AG75" s="399"/>
      <c r="AH75" s="399"/>
      <c r="AI75" s="559"/>
      <c r="AJ75" s="1613" t="s">
        <v>631</v>
      </c>
      <c r="AK75" s="1613"/>
      <c r="AL75" s="1613"/>
      <c r="AM75" s="1613"/>
      <c r="AN75" s="1620"/>
      <c r="AO75" s="1559" t="s">
        <v>11</v>
      </c>
      <c r="AP75" s="276"/>
      <c r="AQ75" s="558"/>
      <c r="AR75" s="112"/>
    </row>
    <row r="76" spans="10:57" ht="27.95" customHeight="1" x14ac:dyDescent="0.25">
      <c r="J76" s="399"/>
      <c r="K76" s="399"/>
      <c r="L76" s="399"/>
      <c r="M76" s="399"/>
      <c r="N76" s="399"/>
      <c r="O76" s="399"/>
      <c r="P76" s="399"/>
      <c r="Q76" s="399"/>
      <c r="R76" s="399"/>
      <c r="S76" s="399"/>
      <c r="T76" s="399"/>
      <c r="U76" s="399"/>
      <c r="V76" s="399"/>
      <c r="W76" s="399"/>
      <c r="X76" s="399"/>
      <c r="Y76" s="399"/>
      <c r="Z76" s="399"/>
      <c r="AA76" s="399"/>
      <c r="AB76" s="399"/>
      <c r="AC76" s="399"/>
      <c r="AD76" s="399"/>
      <c r="AE76" s="399"/>
      <c r="AF76" s="399"/>
      <c r="AG76" s="399"/>
      <c r="AH76" s="399"/>
      <c r="AI76" s="559"/>
      <c r="AJ76" s="1613" t="s">
        <v>287</v>
      </c>
      <c r="AK76" s="1613"/>
      <c r="AL76" s="1613"/>
      <c r="AM76" s="1613"/>
      <c r="AN76" s="1620"/>
      <c r="AO76" s="1559" t="s">
        <v>11</v>
      </c>
      <c r="AP76" s="276"/>
      <c r="AQ76" s="558"/>
      <c r="AR76" s="112"/>
    </row>
    <row r="77" spans="10:57" ht="27.95" customHeight="1" thickBot="1" x14ac:dyDescent="0.3">
      <c r="J77" s="399"/>
      <c r="K77" s="399"/>
      <c r="L77" s="399"/>
      <c r="M77" s="399"/>
      <c r="N77" s="399"/>
      <c r="O77" s="399"/>
      <c r="P77" s="399"/>
      <c r="Q77" s="399"/>
      <c r="R77" s="399"/>
      <c r="S77" s="399"/>
      <c r="T77" s="399"/>
      <c r="U77" s="399"/>
      <c r="V77" s="399"/>
      <c r="W77" s="399"/>
      <c r="X77" s="399"/>
      <c r="Y77" s="399"/>
      <c r="Z77" s="399"/>
      <c r="AA77" s="399"/>
      <c r="AB77" s="399"/>
      <c r="AC77" s="399"/>
      <c r="AD77" s="399"/>
      <c r="AE77" s="399"/>
      <c r="AF77" s="399"/>
      <c r="AG77" s="399"/>
      <c r="AH77" s="399"/>
      <c r="AI77" s="417"/>
      <c r="AJ77" s="418"/>
      <c r="AK77" s="418"/>
      <c r="AL77" s="418"/>
      <c r="AM77" s="561"/>
      <c r="AN77" s="561"/>
      <c r="AO77" s="561"/>
      <c r="AP77" s="562"/>
      <c r="AQ77" s="560"/>
      <c r="AR77" s="112"/>
    </row>
    <row r="78" spans="10:57" ht="27.95" customHeight="1" x14ac:dyDescent="0.25">
      <c r="J78" s="399"/>
      <c r="K78" s="399"/>
      <c r="L78" s="399"/>
      <c r="M78" s="399"/>
      <c r="N78" s="399"/>
      <c r="O78" s="399"/>
      <c r="P78" s="399"/>
      <c r="Q78" s="399"/>
      <c r="R78" s="399"/>
      <c r="S78" s="399"/>
      <c r="T78" s="399"/>
      <c r="U78" s="399"/>
      <c r="V78" s="399"/>
      <c r="W78" s="399"/>
      <c r="X78" s="399"/>
      <c r="Y78" s="399"/>
      <c r="Z78" s="399"/>
      <c r="AA78" s="399"/>
      <c r="AB78" s="399"/>
      <c r="AC78" s="399"/>
      <c r="AD78" s="399"/>
      <c r="AE78" s="399"/>
      <c r="AF78" s="399"/>
      <c r="AG78" s="399"/>
      <c r="AH78" s="399"/>
      <c r="AI78" s="399"/>
      <c r="AP78" s="400"/>
      <c r="AR78" s="112"/>
    </row>
    <row r="79" spans="10:57" ht="27.95" customHeight="1" x14ac:dyDescent="0.25">
      <c r="J79" s="399"/>
      <c r="K79" s="399"/>
      <c r="L79" s="399"/>
      <c r="M79" s="399"/>
      <c r="N79" s="399"/>
      <c r="O79" s="399"/>
      <c r="P79" s="399"/>
      <c r="Q79" s="399"/>
      <c r="R79" s="399"/>
      <c r="S79" s="399"/>
      <c r="T79" s="399"/>
      <c r="U79" s="399"/>
      <c r="V79" s="399"/>
      <c r="W79" s="399"/>
      <c r="X79" s="399"/>
      <c r="Y79" s="399"/>
      <c r="Z79" s="399"/>
      <c r="AA79" s="399"/>
      <c r="AB79" s="399"/>
      <c r="AC79" s="399"/>
      <c r="AD79" s="399"/>
      <c r="AE79" s="399"/>
      <c r="AF79" s="399"/>
      <c r="AG79" s="399"/>
      <c r="AH79" s="399"/>
      <c r="AI79" s="399"/>
      <c r="AQ79" s="399"/>
    </row>
    <row r="80" spans="10:57" ht="27.95" hidden="1" customHeight="1" x14ac:dyDescent="0.25">
      <c r="J80" s="399"/>
      <c r="K80" s="399"/>
      <c r="L80" s="399"/>
      <c r="M80" s="399"/>
      <c r="N80" s="399"/>
      <c r="O80" s="399"/>
      <c r="P80" s="399"/>
      <c r="Q80" s="399"/>
      <c r="R80" s="399"/>
      <c r="S80" s="399"/>
      <c r="T80" s="399"/>
      <c r="U80" s="399"/>
      <c r="V80" s="399"/>
      <c r="W80" s="399"/>
      <c r="X80" s="399"/>
      <c r="Y80" s="399"/>
      <c r="Z80" s="399"/>
      <c r="AA80" s="399"/>
      <c r="AB80" s="399"/>
      <c r="AC80" s="399"/>
      <c r="AD80" s="399"/>
      <c r="AE80" s="399"/>
      <c r="AF80" s="399"/>
      <c r="AG80" s="399"/>
      <c r="AH80" s="399"/>
      <c r="AI80" s="399"/>
      <c r="AQ80" s="399"/>
    </row>
    <row r="81" spans="10:50" ht="27.95" hidden="1" customHeight="1" x14ac:dyDescent="0.25">
      <c r="J81" s="399"/>
      <c r="K81" s="399"/>
      <c r="L81" s="399"/>
      <c r="M81" s="399"/>
      <c r="N81" s="399"/>
      <c r="O81" s="399"/>
      <c r="P81" s="399"/>
      <c r="Q81" s="399"/>
      <c r="R81" s="399"/>
      <c r="S81" s="399"/>
      <c r="T81" s="399"/>
      <c r="U81" s="399"/>
      <c r="V81" s="399"/>
      <c r="W81" s="399"/>
      <c r="X81" s="399"/>
      <c r="Y81" s="399"/>
      <c r="Z81" s="399"/>
      <c r="AA81" s="399"/>
      <c r="AB81" s="399"/>
      <c r="AC81" s="399"/>
      <c r="AD81" s="399"/>
      <c r="AE81" s="399"/>
      <c r="AF81" s="399"/>
      <c r="AG81" s="399"/>
      <c r="AH81" s="399"/>
      <c r="AI81" s="399"/>
      <c r="AQ81" s="399"/>
      <c r="AU81" s="401"/>
      <c r="AV81" s="402"/>
      <c r="AW81" s="402"/>
      <c r="AX81" s="402"/>
    </row>
    <row r="82" spans="10:50" ht="27.95" hidden="1" customHeight="1" x14ac:dyDescent="0.25">
      <c r="J82" s="399"/>
      <c r="K82" s="399"/>
      <c r="L82" s="399"/>
      <c r="M82" s="399"/>
      <c r="N82" s="399"/>
      <c r="O82" s="399"/>
      <c r="P82" s="399"/>
      <c r="Q82" s="399"/>
      <c r="R82" s="399"/>
      <c r="S82" s="399"/>
      <c r="T82" s="399"/>
      <c r="U82" s="399"/>
      <c r="V82" s="399"/>
      <c r="W82" s="399"/>
      <c r="X82" s="399"/>
      <c r="Y82" s="399"/>
      <c r="Z82" s="399"/>
      <c r="AA82" s="399"/>
      <c r="AB82" s="399"/>
      <c r="AC82" s="399"/>
      <c r="AD82" s="399"/>
      <c r="AE82" s="399"/>
      <c r="AF82" s="399"/>
      <c r="AG82" s="399"/>
      <c r="AH82" s="399"/>
      <c r="AI82" s="399"/>
      <c r="AQ82" s="399"/>
      <c r="AU82" s="401"/>
      <c r="AV82" s="402"/>
      <c r="AW82" s="402"/>
      <c r="AX82" s="402"/>
    </row>
    <row r="83" spans="10:50" ht="27.95" hidden="1" customHeight="1" x14ac:dyDescent="0.25">
      <c r="J83" s="399"/>
      <c r="K83" s="399"/>
      <c r="L83" s="399"/>
      <c r="M83" s="399"/>
      <c r="N83" s="399"/>
      <c r="O83" s="399"/>
      <c r="P83" s="399"/>
      <c r="Q83" s="399"/>
      <c r="R83" s="399"/>
      <c r="S83" s="399"/>
      <c r="T83" s="399"/>
      <c r="U83" s="399"/>
      <c r="V83" s="399"/>
      <c r="W83" s="399"/>
      <c r="X83" s="399"/>
      <c r="Y83" s="399"/>
      <c r="Z83" s="399"/>
      <c r="AA83" s="399"/>
      <c r="AB83" s="399"/>
      <c r="AC83" s="399"/>
      <c r="AD83" s="399"/>
      <c r="AE83" s="399"/>
      <c r="AF83" s="399"/>
      <c r="AG83" s="399"/>
      <c r="AH83" s="399"/>
      <c r="AI83" s="399"/>
      <c r="AJ83" s="399"/>
      <c r="AK83" s="399"/>
      <c r="AL83" s="399"/>
      <c r="AM83" s="399"/>
      <c r="AN83" s="399"/>
      <c r="AO83" s="399"/>
      <c r="AP83" s="440"/>
      <c r="AQ83" s="538"/>
      <c r="AR83" s="396"/>
      <c r="AU83" s="401"/>
      <c r="AV83" s="402"/>
      <c r="AW83" s="402"/>
      <c r="AX83" s="402"/>
    </row>
    <row r="84" spans="10:50" ht="27.95" hidden="1" customHeight="1" x14ac:dyDescent="0.25">
      <c r="J84" s="399"/>
      <c r="K84" s="399"/>
      <c r="L84" s="399"/>
      <c r="M84" s="399"/>
      <c r="N84" s="399"/>
      <c r="O84" s="399"/>
      <c r="P84" s="399"/>
      <c r="Q84" s="399"/>
      <c r="R84" s="399"/>
      <c r="S84" s="399"/>
      <c r="T84" s="399"/>
      <c r="U84" s="399"/>
      <c r="V84" s="399"/>
      <c r="W84" s="399"/>
      <c r="X84" s="399"/>
      <c r="Y84" s="399"/>
      <c r="Z84" s="399"/>
      <c r="AA84" s="399"/>
      <c r="AB84" s="399"/>
      <c r="AC84" s="399"/>
      <c r="AD84" s="399"/>
      <c r="AE84" s="399"/>
      <c r="AF84" s="399"/>
      <c r="AG84" s="399"/>
      <c r="AH84" s="399"/>
      <c r="AI84" s="399"/>
      <c r="AJ84" s="399"/>
      <c r="AK84" s="399"/>
      <c r="AL84" s="399"/>
      <c r="AM84" s="399"/>
      <c r="AN84" s="399"/>
      <c r="AO84" s="399"/>
      <c r="AU84" s="401"/>
      <c r="AV84" s="402"/>
      <c r="AW84" s="402"/>
      <c r="AX84" s="402"/>
    </row>
    <row r="85" spans="10:50" ht="27.95" hidden="1" customHeight="1" x14ac:dyDescent="0.25">
      <c r="J85" s="399"/>
      <c r="K85" s="399"/>
      <c r="L85" s="399"/>
      <c r="M85" s="399"/>
      <c r="N85" s="399"/>
      <c r="O85" s="399"/>
      <c r="P85" s="399"/>
      <c r="Q85" s="399"/>
      <c r="R85" s="399"/>
      <c r="S85" s="399"/>
      <c r="T85" s="399"/>
      <c r="U85" s="399"/>
      <c r="V85" s="399"/>
      <c r="W85" s="399"/>
      <c r="X85" s="399"/>
      <c r="Y85" s="399"/>
      <c r="Z85" s="399"/>
      <c r="AA85" s="399"/>
      <c r="AB85" s="399"/>
      <c r="AC85" s="399"/>
      <c r="AD85" s="399"/>
      <c r="AE85" s="399"/>
      <c r="AF85" s="399"/>
      <c r="AG85" s="399"/>
      <c r="AH85" s="399"/>
      <c r="AI85" s="399"/>
      <c r="AJ85" s="399"/>
      <c r="AK85" s="399"/>
      <c r="AL85" s="399"/>
      <c r="AM85" s="399"/>
      <c r="AN85" s="399"/>
      <c r="AO85" s="399"/>
      <c r="AW85" s="402"/>
      <c r="AX85" s="402"/>
    </row>
    <row r="86" spans="10:50" ht="27.95" hidden="1" customHeight="1" x14ac:dyDescent="0.25">
      <c r="J86" s="399"/>
      <c r="K86" s="399"/>
      <c r="L86" s="399"/>
      <c r="M86" s="399"/>
      <c r="N86" s="399"/>
      <c r="O86" s="399"/>
      <c r="P86" s="399"/>
      <c r="Q86" s="399"/>
      <c r="R86" s="399"/>
      <c r="S86" s="399"/>
      <c r="T86" s="399"/>
      <c r="U86" s="399"/>
      <c r="V86" s="399"/>
      <c r="W86" s="399"/>
      <c r="X86" s="399"/>
      <c r="Y86" s="399"/>
      <c r="Z86" s="399"/>
      <c r="AA86" s="399"/>
      <c r="AB86" s="399"/>
      <c r="AC86" s="399"/>
      <c r="AD86" s="399"/>
      <c r="AE86" s="399"/>
      <c r="AF86" s="399"/>
      <c r="AG86" s="399"/>
      <c r="AH86" s="399"/>
      <c r="AI86" s="399"/>
      <c r="AJ86" s="399"/>
      <c r="AK86" s="399"/>
      <c r="AL86" s="399"/>
      <c r="AM86" s="399"/>
      <c r="AN86" s="399"/>
      <c r="AO86" s="399"/>
      <c r="AU86" s="377"/>
      <c r="AW86" s="402"/>
      <c r="AX86" s="402"/>
    </row>
    <row r="87" spans="10:50" hidden="1" x14ac:dyDescent="0.25">
      <c r="J87" s="399"/>
      <c r="K87" s="399"/>
      <c r="L87" s="399"/>
      <c r="M87" s="399"/>
      <c r="N87" s="399"/>
      <c r="O87" s="399"/>
      <c r="P87" s="399"/>
      <c r="Q87" s="399"/>
      <c r="R87" s="399"/>
      <c r="S87" s="399"/>
      <c r="T87" s="399"/>
      <c r="U87" s="399"/>
      <c r="V87" s="399"/>
      <c r="W87" s="399"/>
      <c r="X87" s="399"/>
      <c r="Y87" s="399"/>
      <c r="Z87" s="399"/>
      <c r="AA87" s="399"/>
      <c r="AB87" s="399"/>
      <c r="AC87" s="399"/>
      <c r="AD87" s="399"/>
      <c r="AE87" s="399"/>
      <c r="AF87" s="399"/>
      <c r="AG87" s="399"/>
      <c r="AH87" s="399"/>
      <c r="AI87" s="399"/>
      <c r="AJ87" s="399"/>
      <c r="AK87" s="399"/>
      <c r="AL87" s="399"/>
      <c r="AM87" s="399"/>
      <c r="AN87" s="399"/>
      <c r="AO87" s="399"/>
      <c r="AU87" s="377"/>
      <c r="AW87" s="402"/>
      <c r="AX87" s="402"/>
    </row>
    <row r="88" spans="10:50" hidden="1" x14ac:dyDescent="0.25">
      <c r="J88" s="399"/>
      <c r="K88" s="399"/>
      <c r="L88" s="399"/>
      <c r="M88" s="399"/>
      <c r="N88" s="399"/>
      <c r="O88" s="399"/>
      <c r="P88" s="399"/>
      <c r="Q88" s="399"/>
      <c r="R88" s="399"/>
      <c r="S88" s="399"/>
      <c r="T88" s="399"/>
      <c r="U88" s="399"/>
      <c r="V88" s="399"/>
      <c r="W88" s="399"/>
      <c r="X88" s="399"/>
      <c r="Y88" s="399"/>
      <c r="Z88" s="399"/>
      <c r="AA88" s="399"/>
      <c r="AB88" s="399"/>
      <c r="AC88" s="399"/>
      <c r="AD88" s="399"/>
      <c r="AE88" s="399"/>
      <c r="AF88" s="399"/>
      <c r="AG88" s="399"/>
      <c r="AH88" s="399"/>
      <c r="AI88" s="399"/>
      <c r="AJ88" s="399"/>
      <c r="AK88" s="399"/>
      <c r="AL88" s="399"/>
      <c r="AM88" s="399"/>
      <c r="AN88" s="399"/>
      <c r="AO88" s="399"/>
      <c r="AU88" s="377"/>
      <c r="AW88" s="402"/>
      <c r="AX88" s="402"/>
    </row>
    <row r="89" spans="10:50" ht="18" hidden="1" customHeight="1" x14ac:dyDescent="0.25">
      <c r="J89" s="399"/>
      <c r="K89" s="399"/>
      <c r="L89" s="399"/>
      <c r="M89" s="399"/>
      <c r="N89" s="399"/>
      <c r="O89" s="399"/>
      <c r="P89" s="399"/>
      <c r="Q89" s="399"/>
      <c r="R89" s="399"/>
      <c r="S89" s="399"/>
      <c r="T89" s="399"/>
      <c r="U89" s="399"/>
      <c r="V89" s="399"/>
      <c r="W89" s="399"/>
      <c r="X89" s="399"/>
      <c r="Y89" s="399"/>
      <c r="Z89" s="399"/>
      <c r="AA89" s="399"/>
      <c r="AB89" s="399"/>
      <c r="AC89" s="399"/>
      <c r="AD89" s="399"/>
      <c r="AE89" s="399"/>
      <c r="AF89" s="399"/>
      <c r="AG89" s="399"/>
      <c r="AH89" s="399"/>
      <c r="AI89" s="399"/>
      <c r="AJ89" s="399"/>
      <c r="AK89" s="399"/>
      <c r="AL89" s="399"/>
      <c r="AM89" s="399"/>
      <c r="AN89" s="399"/>
      <c r="AO89" s="399"/>
      <c r="AU89" s="401"/>
      <c r="AV89" s="402"/>
      <c r="AW89" s="402"/>
      <c r="AX89" s="402"/>
    </row>
    <row r="90" spans="10:50" hidden="1" x14ac:dyDescent="0.25">
      <c r="J90" s="399"/>
      <c r="K90" s="399"/>
      <c r="L90" s="399"/>
      <c r="M90" s="399"/>
      <c r="N90" s="399"/>
      <c r="O90" s="399"/>
      <c r="P90" s="399"/>
      <c r="Q90" s="399"/>
      <c r="R90" s="399"/>
      <c r="S90" s="399"/>
      <c r="T90" s="399"/>
      <c r="U90" s="399"/>
      <c r="V90" s="399"/>
      <c r="W90" s="399"/>
      <c r="X90" s="399"/>
      <c r="Y90" s="399"/>
      <c r="Z90" s="399"/>
      <c r="AA90" s="399"/>
      <c r="AB90" s="399"/>
      <c r="AC90" s="399"/>
      <c r="AD90" s="399"/>
      <c r="AE90" s="399"/>
      <c r="AF90" s="399"/>
      <c r="AG90" s="399"/>
      <c r="AH90" s="399"/>
      <c r="AI90" s="399"/>
      <c r="AJ90" s="399"/>
      <c r="AK90" s="399"/>
      <c r="AL90" s="399"/>
      <c r="AM90" s="399"/>
      <c r="AN90" s="399"/>
      <c r="AO90" s="399"/>
    </row>
    <row r="91" spans="10:50" ht="15.75" hidden="1" customHeight="1" x14ac:dyDescent="0.25"/>
    <row r="92" spans="10:50" ht="60" hidden="1" customHeight="1" x14ac:dyDescent="0.25"/>
    <row r="93" spans="10:50" ht="14.25" hidden="1" customHeight="1" x14ac:dyDescent="0.25"/>
    <row r="94" spans="10:50" ht="14.25" hidden="1" customHeight="1" x14ac:dyDescent="0.25"/>
    <row r="95" spans="10:50" hidden="1" x14ac:dyDescent="0.25">
      <c r="AT95" s="398"/>
    </row>
    <row r="96" spans="10:50" hidden="1" x14ac:dyDescent="0.25"/>
    <row r="97" spans="10:46" hidden="1" x14ac:dyDescent="0.25"/>
    <row r="98" spans="10:46" hidden="1" x14ac:dyDescent="0.25"/>
    <row r="99" spans="10:46" hidden="1" x14ac:dyDescent="0.25"/>
    <row r="100" spans="10:46" hidden="1" x14ac:dyDescent="0.25"/>
    <row r="101" spans="10:46" hidden="1" x14ac:dyDescent="0.25">
      <c r="AR101" s="406"/>
      <c r="AS101" s="406"/>
      <c r="AT101" s="406"/>
    </row>
    <row r="102" spans="10:46" hidden="1" x14ac:dyDescent="0.25">
      <c r="J102" s="399"/>
      <c r="K102" s="399"/>
      <c r="L102" s="399"/>
      <c r="M102" s="399"/>
      <c r="N102" s="399"/>
      <c r="O102" s="399"/>
      <c r="P102" s="399"/>
      <c r="Q102" s="399"/>
      <c r="R102" s="399"/>
      <c r="S102" s="399"/>
      <c r="T102" s="399"/>
      <c r="U102" s="399"/>
      <c r="V102" s="399"/>
      <c r="W102" s="399"/>
      <c r="X102" s="399"/>
      <c r="Y102" s="399"/>
      <c r="Z102" s="399"/>
      <c r="AA102" s="399"/>
      <c r="AB102" s="399"/>
      <c r="AC102" s="399"/>
      <c r="AD102" s="399"/>
      <c r="AE102" s="399"/>
      <c r="AF102" s="399"/>
      <c r="AG102" s="399"/>
      <c r="AH102" s="399"/>
      <c r="AI102" s="399"/>
      <c r="AJ102" s="399"/>
      <c r="AK102" s="399"/>
      <c r="AL102" s="399"/>
      <c r="AM102" s="399"/>
      <c r="AN102" s="399"/>
      <c r="AO102" s="399"/>
      <c r="AR102" s="374"/>
    </row>
    <row r="103" spans="10:46" hidden="1" x14ac:dyDescent="0.25">
      <c r="J103" s="399"/>
      <c r="K103" s="399"/>
      <c r="L103" s="399"/>
      <c r="M103" s="399"/>
      <c r="N103" s="399"/>
      <c r="O103" s="399"/>
      <c r="P103" s="399"/>
      <c r="Q103" s="399"/>
      <c r="R103" s="399"/>
      <c r="S103" s="399"/>
      <c r="T103" s="399"/>
      <c r="U103" s="399"/>
      <c r="V103" s="399"/>
      <c r="W103" s="399"/>
      <c r="X103" s="399"/>
      <c r="Y103" s="399"/>
      <c r="Z103" s="399"/>
      <c r="AA103" s="399"/>
      <c r="AB103" s="399"/>
      <c r="AC103" s="399"/>
      <c r="AD103" s="399"/>
      <c r="AE103" s="399"/>
      <c r="AF103" s="399"/>
      <c r="AG103" s="399"/>
      <c r="AH103" s="399"/>
      <c r="AI103" s="399"/>
      <c r="AJ103" s="399"/>
      <c r="AK103" s="399"/>
      <c r="AL103" s="399"/>
      <c r="AM103" s="399"/>
      <c r="AN103" s="399"/>
      <c r="AO103" s="399"/>
      <c r="AR103" s="40"/>
      <c r="AS103" s="40"/>
      <c r="AT103" s="40"/>
    </row>
    <row r="104" spans="10:46" ht="30" hidden="1" customHeight="1" x14ac:dyDescent="0.25">
      <c r="J104" s="399"/>
      <c r="K104" s="399"/>
      <c r="L104" s="399"/>
      <c r="M104" s="399"/>
      <c r="N104" s="399"/>
      <c r="O104" s="399"/>
      <c r="P104" s="399"/>
      <c r="Q104" s="399"/>
      <c r="R104" s="399"/>
      <c r="S104" s="399"/>
      <c r="T104" s="399"/>
      <c r="U104" s="399"/>
      <c r="V104" s="399"/>
      <c r="W104" s="399"/>
      <c r="X104" s="399"/>
      <c r="Y104" s="399"/>
      <c r="Z104" s="399"/>
      <c r="AA104" s="399"/>
      <c r="AB104" s="399"/>
      <c r="AC104" s="399"/>
      <c r="AD104" s="399"/>
      <c r="AE104" s="399"/>
      <c r="AF104" s="399"/>
      <c r="AG104" s="399"/>
      <c r="AH104" s="399"/>
      <c r="AI104" s="399"/>
      <c r="AJ104" s="399"/>
      <c r="AK104" s="399"/>
      <c r="AL104" s="399"/>
      <c r="AM104" s="399"/>
      <c r="AN104" s="399"/>
      <c r="AO104" s="399"/>
      <c r="AR104" s="40"/>
      <c r="AS104" s="40"/>
      <c r="AT104" s="40"/>
    </row>
    <row r="105" spans="10:46" ht="45" hidden="1" customHeight="1" x14ac:dyDescent="0.25">
      <c r="J105" s="399"/>
      <c r="K105" s="399"/>
      <c r="L105" s="399"/>
      <c r="M105" s="399"/>
      <c r="N105" s="399"/>
      <c r="O105" s="399"/>
      <c r="P105" s="399"/>
      <c r="Q105" s="399"/>
      <c r="R105" s="399"/>
      <c r="S105" s="399"/>
      <c r="T105" s="399"/>
      <c r="U105" s="399"/>
      <c r="V105" s="399"/>
      <c r="W105" s="399"/>
      <c r="X105" s="399"/>
      <c r="Y105" s="399"/>
      <c r="Z105" s="399"/>
      <c r="AA105" s="399"/>
      <c r="AB105" s="399"/>
      <c r="AC105" s="399"/>
      <c r="AD105" s="399"/>
      <c r="AE105" s="399"/>
      <c r="AF105" s="399"/>
      <c r="AG105" s="399"/>
      <c r="AH105" s="399"/>
      <c r="AI105" s="399"/>
      <c r="AJ105" s="399"/>
      <c r="AK105" s="399"/>
      <c r="AL105" s="399"/>
      <c r="AM105" s="399"/>
      <c r="AN105" s="399"/>
      <c r="AO105" s="399"/>
      <c r="AR105" s="40"/>
      <c r="AS105" s="40"/>
      <c r="AT105" s="40"/>
    </row>
    <row r="106" spans="10:46" ht="30" hidden="1" customHeight="1" x14ac:dyDescent="0.25">
      <c r="J106" s="399"/>
      <c r="K106" s="399"/>
      <c r="L106" s="399"/>
      <c r="M106" s="399"/>
      <c r="N106" s="399"/>
      <c r="O106" s="399"/>
      <c r="P106" s="399"/>
      <c r="Q106" s="399"/>
      <c r="R106" s="399"/>
      <c r="S106" s="399"/>
      <c r="T106" s="399"/>
      <c r="U106" s="399"/>
      <c r="V106" s="399"/>
      <c r="W106" s="399"/>
      <c r="X106" s="399"/>
      <c r="Y106" s="399"/>
      <c r="Z106" s="399"/>
      <c r="AA106" s="399"/>
      <c r="AB106" s="399"/>
      <c r="AC106" s="399"/>
      <c r="AD106" s="399"/>
      <c r="AE106" s="399"/>
      <c r="AF106" s="399"/>
      <c r="AG106" s="399"/>
      <c r="AH106" s="399"/>
      <c r="AI106" s="399"/>
      <c r="AJ106" s="399"/>
      <c r="AK106" s="399"/>
      <c r="AL106" s="399"/>
      <c r="AM106" s="399"/>
      <c r="AN106" s="399"/>
      <c r="AO106" s="399"/>
      <c r="AR106" s="40"/>
      <c r="AS106" s="40"/>
      <c r="AT106" s="40"/>
    </row>
    <row r="107" spans="10:46" ht="30" hidden="1" customHeight="1" x14ac:dyDescent="0.25">
      <c r="J107" s="399"/>
      <c r="K107" s="399"/>
      <c r="L107" s="399"/>
      <c r="M107" s="399"/>
      <c r="N107" s="399"/>
      <c r="O107" s="399"/>
      <c r="P107" s="399"/>
      <c r="Q107" s="399"/>
      <c r="R107" s="399"/>
      <c r="S107" s="399"/>
      <c r="T107" s="399"/>
      <c r="U107" s="399"/>
      <c r="V107" s="399"/>
      <c r="W107" s="399"/>
      <c r="X107" s="399"/>
      <c r="Y107" s="399"/>
      <c r="Z107" s="399"/>
      <c r="AA107" s="399"/>
      <c r="AB107" s="399"/>
      <c r="AC107" s="399"/>
      <c r="AD107" s="399"/>
      <c r="AE107" s="399"/>
      <c r="AF107" s="399"/>
      <c r="AG107" s="399"/>
      <c r="AH107" s="399"/>
      <c r="AI107" s="399"/>
      <c r="AJ107" s="399"/>
      <c r="AK107" s="399"/>
      <c r="AL107" s="399"/>
      <c r="AM107" s="399"/>
      <c r="AN107" s="399"/>
      <c r="AO107" s="399"/>
      <c r="AR107" s="40"/>
      <c r="AS107" s="40"/>
      <c r="AT107" s="40"/>
    </row>
    <row r="108" spans="10:46" ht="17.100000000000001" hidden="1" customHeight="1" x14ac:dyDescent="0.25">
      <c r="J108" s="399"/>
      <c r="K108" s="399"/>
      <c r="L108" s="399"/>
      <c r="M108" s="399"/>
      <c r="N108" s="399"/>
      <c r="O108" s="399"/>
      <c r="P108" s="399"/>
      <c r="Q108" s="399"/>
      <c r="R108" s="399"/>
      <c r="S108" s="399"/>
      <c r="T108" s="399"/>
      <c r="U108" s="399"/>
      <c r="V108" s="399"/>
      <c r="W108" s="399"/>
      <c r="X108" s="399"/>
      <c r="Y108" s="399"/>
      <c r="Z108" s="399"/>
      <c r="AA108" s="399"/>
      <c r="AB108" s="399"/>
      <c r="AC108" s="399"/>
      <c r="AD108" s="399"/>
      <c r="AE108" s="399"/>
      <c r="AF108" s="399"/>
      <c r="AG108" s="399"/>
      <c r="AH108" s="399"/>
      <c r="AI108" s="399"/>
      <c r="AJ108" s="399"/>
      <c r="AK108" s="399"/>
      <c r="AL108" s="399"/>
      <c r="AM108" s="399"/>
      <c r="AN108" s="399"/>
      <c r="AO108" s="399"/>
      <c r="AR108" s="40"/>
      <c r="AS108" s="40"/>
      <c r="AT108" s="40"/>
    </row>
    <row r="109" spans="10:46" ht="30" hidden="1" customHeight="1" x14ac:dyDescent="0.25">
      <c r="J109" s="399"/>
      <c r="K109" s="399"/>
      <c r="L109" s="399"/>
      <c r="M109" s="399"/>
      <c r="N109" s="399"/>
      <c r="O109" s="399"/>
      <c r="P109" s="399"/>
      <c r="Q109" s="399"/>
      <c r="R109" s="399"/>
      <c r="S109" s="399"/>
      <c r="T109" s="399"/>
      <c r="U109" s="399"/>
      <c r="V109" s="399"/>
      <c r="W109" s="399"/>
      <c r="X109" s="399"/>
      <c r="Y109" s="399"/>
      <c r="Z109" s="399"/>
      <c r="AA109" s="399"/>
      <c r="AB109" s="399"/>
      <c r="AC109" s="399"/>
      <c r="AD109" s="399"/>
      <c r="AE109" s="399"/>
      <c r="AF109" s="399"/>
      <c r="AG109" s="399"/>
      <c r="AH109" s="399"/>
      <c r="AI109" s="399"/>
      <c r="AJ109" s="399"/>
      <c r="AK109" s="399"/>
      <c r="AL109" s="399"/>
      <c r="AM109" s="399"/>
      <c r="AN109" s="399"/>
      <c r="AO109" s="399"/>
      <c r="AR109" s="40"/>
      <c r="AS109" s="40"/>
      <c r="AT109" s="40"/>
    </row>
    <row r="110" spans="10:46" hidden="1" x14ac:dyDescent="0.25">
      <c r="J110" s="399"/>
      <c r="K110" s="399"/>
      <c r="L110" s="399"/>
      <c r="M110" s="399"/>
      <c r="N110" s="399"/>
      <c r="O110" s="399"/>
      <c r="P110" s="399"/>
      <c r="Q110" s="399"/>
      <c r="R110" s="399"/>
      <c r="S110" s="399"/>
      <c r="T110" s="399"/>
      <c r="U110" s="399"/>
      <c r="V110" s="399"/>
      <c r="W110" s="399"/>
      <c r="X110" s="399"/>
      <c r="Y110" s="399"/>
      <c r="Z110" s="399"/>
      <c r="AA110" s="399"/>
      <c r="AB110" s="399"/>
      <c r="AC110" s="399"/>
      <c r="AD110" s="399"/>
      <c r="AE110" s="399"/>
      <c r="AF110" s="399"/>
      <c r="AG110" s="399"/>
      <c r="AH110" s="399"/>
      <c r="AI110" s="399"/>
      <c r="AJ110" s="399"/>
      <c r="AK110" s="399"/>
      <c r="AL110" s="399"/>
      <c r="AM110" s="399"/>
      <c r="AN110" s="399"/>
      <c r="AO110" s="399"/>
      <c r="AR110" s="374"/>
    </row>
    <row r="111" spans="10:46" hidden="1" x14ac:dyDescent="0.25">
      <c r="J111" s="399"/>
      <c r="K111" s="399"/>
      <c r="L111" s="399"/>
      <c r="M111" s="399"/>
      <c r="N111" s="399"/>
      <c r="O111" s="399"/>
      <c r="P111" s="399"/>
      <c r="Q111" s="399"/>
      <c r="R111" s="399"/>
      <c r="S111" s="399"/>
      <c r="T111" s="399"/>
      <c r="U111" s="399"/>
      <c r="V111" s="399"/>
      <c r="W111" s="399"/>
      <c r="X111" s="399"/>
      <c r="Y111" s="399"/>
      <c r="Z111" s="399"/>
      <c r="AA111" s="399"/>
      <c r="AB111" s="399"/>
      <c r="AC111" s="399"/>
      <c r="AD111" s="399"/>
      <c r="AE111" s="399"/>
      <c r="AF111" s="399"/>
      <c r="AG111" s="399"/>
      <c r="AH111" s="399"/>
      <c r="AI111" s="399"/>
      <c r="AJ111" s="399"/>
      <c r="AK111" s="399"/>
      <c r="AL111" s="399"/>
      <c r="AM111" s="399"/>
      <c r="AN111" s="399"/>
      <c r="AO111" s="399"/>
      <c r="AR111" s="374"/>
    </row>
    <row r="112" spans="10:46" ht="45" hidden="1" customHeight="1" x14ac:dyDescent="0.25">
      <c r="J112" s="399"/>
      <c r="K112" s="399"/>
      <c r="L112" s="399"/>
      <c r="M112" s="399"/>
      <c r="N112" s="399"/>
      <c r="O112" s="399"/>
      <c r="P112" s="399"/>
      <c r="Q112" s="399"/>
      <c r="R112" s="399"/>
      <c r="S112" s="399"/>
      <c r="T112" s="399"/>
      <c r="U112" s="399"/>
      <c r="V112" s="399"/>
      <c r="W112" s="399"/>
      <c r="X112" s="399"/>
      <c r="Y112" s="399"/>
      <c r="Z112" s="399"/>
      <c r="AA112" s="399"/>
      <c r="AB112" s="399"/>
      <c r="AC112" s="399"/>
      <c r="AD112" s="399"/>
      <c r="AE112" s="399"/>
      <c r="AF112" s="399"/>
      <c r="AG112" s="399"/>
      <c r="AH112" s="399"/>
      <c r="AI112" s="399"/>
      <c r="AJ112" s="399"/>
      <c r="AK112" s="399"/>
      <c r="AL112" s="399"/>
      <c r="AM112" s="399"/>
      <c r="AN112" s="399"/>
      <c r="AO112" s="399"/>
      <c r="AR112" s="40"/>
      <c r="AS112" s="40"/>
      <c r="AT112" s="40"/>
    </row>
    <row r="113" spans="10:46" ht="30" hidden="1" customHeight="1" x14ac:dyDescent="0.25">
      <c r="J113" s="399"/>
      <c r="K113" s="399"/>
      <c r="L113" s="399"/>
      <c r="M113" s="399"/>
      <c r="N113" s="399"/>
      <c r="O113" s="399"/>
      <c r="P113" s="399"/>
      <c r="Q113" s="399"/>
      <c r="R113" s="399"/>
      <c r="S113" s="399"/>
      <c r="T113" s="399"/>
      <c r="U113" s="399"/>
      <c r="V113" s="399"/>
      <c r="W113" s="399"/>
      <c r="X113" s="399"/>
      <c r="Y113" s="399"/>
      <c r="Z113" s="399"/>
      <c r="AA113" s="399"/>
      <c r="AB113" s="399"/>
      <c r="AC113" s="399"/>
      <c r="AD113" s="399"/>
      <c r="AE113" s="399"/>
      <c r="AF113" s="399"/>
      <c r="AG113" s="399"/>
      <c r="AH113" s="399"/>
      <c r="AI113" s="399"/>
      <c r="AJ113" s="399"/>
      <c r="AK113" s="399"/>
      <c r="AL113" s="399"/>
      <c r="AM113" s="399"/>
      <c r="AN113" s="399"/>
      <c r="AO113" s="399"/>
      <c r="AR113" s="40"/>
      <c r="AS113" s="40"/>
      <c r="AT113" s="40"/>
    </row>
    <row r="114" spans="10:46" ht="30" hidden="1" customHeight="1" x14ac:dyDescent="0.25">
      <c r="J114" s="399"/>
      <c r="K114" s="399"/>
      <c r="L114" s="399"/>
      <c r="M114" s="399"/>
      <c r="N114" s="399"/>
      <c r="O114" s="399"/>
      <c r="P114" s="399"/>
      <c r="Q114" s="399"/>
      <c r="R114" s="399"/>
      <c r="S114" s="399"/>
      <c r="T114" s="399"/>
      <c r="U114" s="399"/>
      <c r="V114" s="399"/>
      <c r="W114" s="399"/>
      <c r="X114" s="399"/>
      <c r="Y114" s="399"/>
      <c r="Z114" s="399"/>
      <c r="AA114" s="399"/>
      <c r="AB114" s="399"/>
      <c r="AC114" s="399"/>
      <c r="AD114" s="399"/>
      <c r="AE114" s="399"/>
      <c r="AF114" s="399"/>
      <c r="AG114" s="399"/>
      <c r="AH114" s="399"/>
      <c r="AI114" s="399"/>
      <c r="AJ114" s="399"/>
      <c r="AK114" s="399"/>
      <c r="AL114" s="399"/>
      <c r="AM114" s="399"/>
      <c r="AN114" s="399"/>
      <c r="AO114" s="399"/>
      <c r="AR114" s="40"/>
      <c r="AS114" s="40"/>
      <c r="AT114" s="40"/>
    </row>
    <row r="115" spans="10:46" ht="30" hidden="1" customHeight="1" x14ac:dyDescent="0.25">
      <c r="J115" s="399"/>
      <c r="K115" s="399"/>
      <c r="L115" s="399"/>
      <c r="M115" s="399"/>
      <c r="N115" s="399"/>
      <c r="O115" s="399"/>
      <c r="P115" s="399"/>
      <c r="Q115" s="399"/>
      <c r="R115" s="399"/>
      <c r="S115" s="399"/>
      <c r="T115" s="399"/>
      <c r="U115" s="399"/>
      <c r="V115" s="399"/>
      <c r="W115" s="399"/>
      <c r="X115" s="399"/>
      <c r="Y115" s="399"/>
      <c r="Z115" s="399"/>
      <c r="AA115" s="399"/>
      <c r="AB115" s="399"/>
      <c r="AC115" s="399"/>
      <c r="AD115" s="399"/>
      <c r="AE115" s="399"/>
      <c r="AF115" s="399"/>
      <c r="AG115" s="399"/>
      <c r="AH115" s="399"/>
      <c r="AI115" s="399"/>
      <c r="AJ115" s="399"/>
      <c r="AK115" s="399"/>
      <c r="AL115" s="399"/>
      <c r="AM115" s="399"/>
      <c r="AN115" s="399"/>
      <c r="AO115" s="399"/>
      <c r="AR115" s="40"/>
      <c r="AS115" s="40"/>
      <c r="AT115" s="40"/>
    </row>
    <row r="116" spans="10:46" ht="30" hidden="1" customHeight="1" x14ac:dyDescent="0.25">
      <c r="J116" s="399"/>
      <c r="K116" s="399"/>
      <c r="L116" s="399"/>
      <c r="M116" s="399"/>
      <c r="N116" s="399"/>
      <c r="O116" s="399"/>
      <c r="P116" s="399"/>
      <c r="Q116" s="399"/>
      <c r="R116" s="399"/>
      <c r="S116" s="399"/>
      <c r="T116" s="399"/>
      <c r="U116" s="399"/>
      <c r="V116" s="399"/>
      <c r="W116" s="399"/>
      <c r="X116" s="399"/>
      <c r="Y116" s="399"/>
      <c r="Z116" s="399"/>
      <c r="AA116" s="399"/>
      <c r="AB116" s="399"/>
      <c r="AC116" s="399"/>
      <c r="AD116" s="399"/>
      <c r="AE116" s="399"/>
      <c r="AF116" s="399"/>
      <c r="AG116" s="399"/>
      <c r="AH116" s="399"/>
      <c r="AI116" s="399"/>
      <c r="AJ116" s="399"/>
      <c r="AK116" s="399"/>
      <c r="AL116" s="399"/>
      <c r="AM116" s="399"/>
      <c r="AN116" s="399"/>
      <c r="AO116" s="399"/>
      <c r="AR116" s="40"/>
      <c r="AS116" s="40"/>
      <c r="AT116" s="40"/>
    </row>
    <row r="117" spans="10:46" ht="30" hidden="1" customHeight="1" x14ac:dyDescent="0.25">
      <c r="J117" s="399"/>
      <c r="K117" s="399"/>
      <c r="L117" s="399"/>
      <c r="M117" s="399"/>
      <c r="N117" s="399"/>
      <c r="O117" s="399"/>
      <c r="P117" s="399"/>
      <c r="Q117" s="399"/>
      <c r="R117" s="399"/>
      <c r="S117" s="399"/>
      <c r="T117" s="399"/>
      <c r="U117" s="399"/>
      <c r="V117" s="399"/>
      <c r="W117" s="399"/>
      <c r="X117" s="399"/>
      <c r="Y117" s="399"/>
      <c r="Z117" s="399"/>
      <c r="AA117" s="399"/>
      <c r="AB117" s="399"/>
      <c r="AC117" s="399"/>
      <c r="AD117" s="399"/>
      <c r="AE117" s="399"/>
      <c r="AF117" s="399"/>
      <c r="AG117" s="399"/>
      <c r="AH117" s="399"/>
      <c r="AI117" s="399"/>
      <c r="AJ117" s="399"/>
      <c r="AK117" s="399"/>
      <c r="AL117" s="399"/>
      <c r="AM117" s="399"/>
      <c r="AN117" s="399"/>
      <c r="AO117" s="399"/>
      <c r="AR117" s="40"/>
      <c r="AS117" s="40"/>
      <c r="AT117" s="40"/>
    </row>
    <row r="118" spans="10:46" ht="30" hidden="1" customHeight="1" x14ac:dyDescent="0.25">
      <c r="J118" s="399"/>
      <c r="K118" s="399"/>
      <c r="L118" s="399"/>
      <c r="M118" s="399"/>
      <c r="N118" s="399"/>
      <c r="O118" s="399"/>
      <c r="P118" s="399"/>
      <c r="Q118" s="399"/>
      <c r="R118" s="399"/>
      <c r="S118" s="399"/>
      <c r="T118" s="399"/>
      <c r="U118" s="399"/>
      <c r="V118" s="399"/>
      <c r="W118" s="399"/>
      <c r="X118" s="399"/>
      <c r="Y118" s="399"/>
      <c r="Z118" s="399"/>
      <c r="AA118" s="399"/>
      <c r="AB118" s="399"/>
      <c r="AC118" s="399"/>
      <c r="AD118" s="399"/>
      <c r="AE118" s="399"/>
      <c r="AF118" s="399"/>
      <c r="AG118" s="399"/>
      <c r="AH118" s="399"/>
      <c r="AI118" s="399"/>
      <c r="AJ118" s="399"/>
      <c r="AK118" s="399"/>
      <c r="AL118" s="399"/>
      <c r="AM118" s="399"/>
      <c r="AN118" s="399"/>
      <c r="AO118" s="399"/>
      <c r="AR118" s="40"/>
      <c r="AS118" s="40"/>
      <c r="AT118" s="40"/>
    </row>
    <row r="119" spans="10:46" ht="45" hidden="1" customHeight="1" x14ac:dyDescent="0.25">
      <c r="J119" s="399"/>
      <c r="K119" s="399"/>
      <c r="L119" s="399"/>
      <c r="M119" s="399"/>
      <c r="N119" s="399"/>
      <c r="O119" s="399"/>
      <c r="P119" s="399"/>
      <c r="Q119" s="399"/>
      <c r="R119" s="399"/>
      <c r="S119" s="399"/>
      <c r="T119" s="399"/>
      <c r="U119" s="399"/>
      <c r="V119" s="399"/>
      <c r="W119" s="399"/>
      <c r="X119" s="399"/>
      <c r="Y119" s="399"/>
      <c r="Z119" s="399"/>
      <c r="AA119" s="399"/>
      <c r="AB119" s="399"/>
      <c r="AC119" s="399"/>
      <c r="AD119" s="399"/>
      <c r="AE119" s="399"/>
      <c r="AF119" s="399"/>
      <c r="AG119" s="399"/>
      <c r="AH119" s="399"/>
      <c r="AI119" s="399"/>
      <c r="AJ119" s="399"/>
      <c r="AK119" s="399"/>
      <c r="AL119" s="399"/>
      <c r="AM119" s="399"/>
      <c r="AN119" s="399"/>
      <c r="AO119" s="399"/>
      <c r="AR119" s="40"/>
      <c r="AS119" s="40"/>
      <c r="AT119" s="40"/>
    </row>
    <row r="120" spans="10:46" ht="30" hidden="1" customHeight="1" x14ac:dyDescent="0.25">
      <c r="J120" s="399"/>
      <c r="K120" s="399"/>
      <c r="L120" s="399"/>
      <c r="M120" s="399"/>
      <c r="N120" s="399"/>
      <c r="O120" s="399"/>
      <c r="P120" s="399"/>
      <c r="Q120" s="399"/>
      <c r="R120" s="399"/>
      <c r="S120" s="399"/>
      <c r="T120" s="399"/>
      <c r="U120" s="399"/>
      <c r="V120" s="399"/>
      <c r="W120" s="399"/>
      <c r="X120" s="399"/>
      <c r="Y120" s="399"/>
      <c r="Z120" s="399"/>
      <c r="AA120" s="399"/>
      <c r="AB120" s="399"/>
      <c r="AC120" s="399"/>
      <c r="AD120" s="399"/>
      <c r="AE120" s="399"/>
      <c r="AF120" s="399"/>
      <c r="AG120" s="399"/>
      <c r="AH120" s="399"/>
      <c r="AI120" s="399"/>
      <c r="AJ120" s="399"/>
      <c r="AK120" s="399"/>
      <c r="AL120" s="399"/>
      <c r="AM120" s="399"/>
      <c r="AN120" s="399"/>
      <c r="AO120" s="399"/>
      <c r="AR120" s="40"/>
      <c r="AS120" s="40"/>
      <c r="AT120" s="40"/>
    </row>
    <row r="121" spans="10:46" hidden="1" x14ac:dyDescent="0.25">
      <c r="J121" s="399"/>
      <c r="K121" s="399"/>
      <c r="L121" s="399"/>
      <c r="M121" s="399"/>
      <c r="N121" s="399"/>
      <c r="O121" s="399"/>
      <c r="P121" s="399"/>
      <c r="Q121" s="399"/>
      <c r="R121" s="399"/>
      <c r="S121" s="399"/>
      <c r="T121" s="399"/>
      <c r="U121" s="399"/>
      <c r="V121" s="399"/>
      <c r="W121" s="399"/>
      <c r="X121" s="399"/>
      <c r="Y121" s="399"/>
      <c r="Z121" s="399"/>
      <c r="AA121" s="399"/>
      <c r="AB121" s="399"/>
      <c r="AC121" s="399"/>
      <c r="AD121" s="399"/>
      <c r="AE121" s="399"/>
      <c r="AF121" s="399"/>
      <c r="AG121" s="399"/>
      <c r="AH121" s="399"/>
      <c r="AI121" s="399"/>
      <c r="AJ121" s="399"/>
      <c r="AK121" s="399"/>
      <c r="AL121" s="399"/>
      <c r="AM121" s="399"/>
      <c r="AN121" s="399"/>
      <c r="AO121" s="399"/>
      <c r="AR121" s="374"/>
    </row>
    <row r="122" spans="10:46" hidden="1" x14ac:dyDescent="0.25">
      <c r="J122" s="399"/>
      <c r="K122" s="399"/>
      <c r="L122" s="399"/>
      <c r="M122" s="399"/>
      <c r="N122" s="399"/>
      <c r="O122" s="399"/>
      <c r="P122" s="399"/>
      <c r="Q122" s="399"/>
      <c r="R122" s="399"/>
      <c r="S122" s="399"/>
      <c r="T122" s="399"/>
      <c r="U122" s="399"/>
      <c r="V122" s="399"/>
      <c r="W122" s="399"/>
      <c r="X122" s="399"/>
      <c r="Y122" s="399"/>
      <c r="Z122" s="399"/>
      <c r="AA122" s="399"/>
      <c r="AB122" s="399"/>
      <c r="AC122" s="399"/>
      <c r="AD122" s="399"/>
      <c r="AE122" s="399"/>
      <c r="AF122" s="399"/>
      <c r="AG122" s="399"/>
      <c r="AH122" s="399"/>
      <c r="AI122" s="399"/>
      <c r="AJ122" s="399"/>
      <c r="AK122" s="399"/>
      <c r="AL122" s="399"/>
      <c r="AM122" s="399"/>
      <c r="AN122" s="399"/>
      <c r="AO122" s="399"/>
      <c r="AR122" s="374"/>
    </row>
    <row r="123" spans="10:46" ht="15" hidden="1" customHeight="1" x14ac:dyDescent="0.25">
      <c r="J123" s="399"/>
      <c r="K123" s="399"/>
      <c r="L123" s="399"/>
      <c r="M123" s="399"/>
      <c r="N123" s="399"/>
      <c r="O123" s="399"/>
      <c r="P123" s="399"/>
      <c r="Q123" s="399"/>
      <c r="R123" s="399"/>
      <c r="S123" s="399"/>
      <c r="T123" s="399"/>
      <c r="U123" s="399"/>
      <c r="V123" s="399"/>
      <c r="W123" s="399"/>
      <c r="X123" s="399"/>
      <c r="Y123" s="399"/>
      <c r="Z123" s="399"/>
      <c r="AA123" s="399"/>
      <c r="AB123" s="399"/>
      <c r="AC123" s="399"/>
      <c r="AD123" s="399"/>
      <c r="AE123" s="399"/>
      <c r="AF123" s="399"/>
      <c r="AG123" s="399"/>
      <c r="AH123" s="399"/>
      <c r="AI123" s="399"/>
      <c r="AJ123" s="399"/>
      <c r="AK123" s="399"/>
      <c r="AL123" s="399"/>
      <c r="AM123" s="399"/>
      <c r="AN123" s="399"/>
      <c r="AO123" s="399"/>
      <c r="AR123" s="40"/>
      <c r="AS123" s="40"/>
      <c r="AT123" s="40"/>
    </row>
    <row r="124" spans="10:46" ht="45" hidden="1" customHeight="1" x14ac:dyDescent="0.25">
      <c r="J124" s="399"/>
      <c r="K124" s="399"/>
      <c r="L124" s="399"/>
      <c r="M124" s="399"/>
      <c r="N124" s="399"/>
      <c r="O124" s="399"/>
      <c r="P124" s="399"/>
      <c r="Q124" s="399"/>
      <c r="R124" s="399"/>
      <c r="S124" s="399"/>
      <c r="T124" s="399"/>
      <c r="U124" s="399"/>
      <c r="V124" s="399"/>
      <c r="W124" s="399"/>
      <c r="X124" s="399"/>
      <c r="Y124" s="399"/>
      <c r="Z124" s="399"/>
      <c r="AA124" s="399"/>
      <c r="AB124" s="399"/>
      <c r="AC124" s="399"/>
      <c r="AD124" s="399"/>
      <c r="AE124" s="399"/>
      <c r="AF124" s="399"/>
      <c r="AG124" s="399"/>
      <c r="AH124" s="399"/>
      <c r="AI124" s="399"/>
      <c r="AJ124" s="399"/>
      <c r="AK124" s="399"/>
      <c r="AL124" s="399"/>
      <c r="AM124" s="399"/>
      <c r="AN124" s="399"/>
      <c r="AO124" s="399"/>
      <c r="AR124" s="40"/>
      <c r="AS124" s="40"/>
      <c r="AT124" s="40"/>
    </row>
    <row r="125" spans="10:46" ht="30" hidden="1" customHeight="1" x14ac:dyDescent="0.25">
      <c r="J125" s="399"/>
      <c r="K125" s="399"/>
      <c r="L125" s="399"/>
      <c r="M125" s="399"/>
      <c r="N125" s="399"/>
      <c r="O125" s="399"/>
      <c r="P125" s="399"/>
      <c r="Q125" s="399"/>
      <c r="R125" s="399"/>
      <c r="S125" s="399"/>
      <c r="T125" s="399"/>
      <c r="U125" s="399"/>
      <c r="V125" s="399"/>
      <c r="W125" s="399"/>
      <c r="X125" s="399"/>
      <c r="Y125" s="399"/>
      <c r="Z125" s="399"/>
      <c r="AA125" s="399"/>
      <c r="AB125" s="399"/>
      <c r="AC125" s="399"/>
      <c r="AD125" s="399"/>
      <c r="AE125" s="399"/>
      <c r="AF125" s="399"/>
      <c r="AG125" s="399"/>
      <c r="AH125" s="399"/>
      <c r="AI125" s="399"/>
      <c r="AJ125" s="399"/>
      <c r="AK125" s="399"/>
      <c r="AL125" s="399"/>
      <c r="AM125" s="399"/>
      <c r="AN125" s="399"/>
      <c r="AO125" s="399"/>
      <c r="AR125" s="40"/>
      <c r="AS125" s="40"/>
      <c r="AT125" s="40"/>
    </row>
    <row r="126" spans="10:46" ht="15.95" hidden="1" customHeight="1" x14ac:dyDescent="0.25">
      <c r="J126" s="399"/>
      <c r="K126" s="399"/>
      <c r="L126" s="399"/>
      <c r="M126" s="399"/>
      <c r="N126" s="399"/>
      <c r="O126" s="399"/>
      <c r="P126" s="399"/>
      <c r="Q126" s="399"/>
      <c r="R126" s="399"/>
      <c r="S126" s="399"/>
      <c r="T126" s="399"/>
      <c r="U126" s="399"/>
      <c r="V126" s="399"/>
      <c r="W126" s="399"/>
      <c r="X126" s="399"/>
      <c r="Y126" s="399"/>
      <c r="Z126" s="399"/>
      <c r="AA126" s="399"/>
      <c r="AB126" s="399"/>
      <c r="AC126" s="399"/>
      <c r="AD126" s="399"/>
      <c r="AE126" s="399"/>
      <c r="AF126" s="399"/>
      <c r="AG126" s="399"/>
      <c r="AH126" s="399"/>
      <c r="AI126" s="399"/>
      <c r="AJ126" s="399"/>
      <c r="AK126" s="399"/>
      <c r="AL126" s="399"/>
      <c r="AM126" s="399"/>
      <c r="AN126" s="399"/>
      <c r="AO126" s="399"/>
      <c r="AR126" s="40"/>
      <c r="AS126" s="40"/>
      <c r="AT126" s="40"/>
    </row>
    <row r="127" spans="10:46" ht="30" hidden="1" customHeight="1" x14ac:dyDescent="0.25">
      <c r="J127" s="399"/>
      <c r="K127" s="399"/>
      <c r="L127" s="399"/>
      <c r="M127" s="399"/>
      <c r="N127" s="399"/>
      <c r="O127" s="399"/>
      <c r="P127" s="399"/>
      <c r="Q127" s="399"/>
      <c r="R127" s="399"/>
      <c r="S127" s="399"/>
      <c r="T127" s="399"/>
      <c r="U127" s="399"/>
      <c r="V127" s="399"/>
      <c r="W127" s="399"/>
      <c r="X127" s="399"/>
      <c r="Y127" s="399"/>
      <c r="Z127" s="399"/>
      <c r="AA127" s="399"/>
      <c r="AB127" s="399"/>
      <c r="AC127" s="399"/>
      <c r="AD127" s="399"/>
      <c r="AE127" s="399"/>
      <c r="AF127" s="399"/>
      <c r="AG127" s="399"/>
      <c r="AH127" s="399"/>
      <c r="AI127" s="399"/>
      <c r="AJ127" s="399"/>
      <c r="AK127" s="399"/>
      <c r="AL127" s="399"/>
      <c r="AM127" s="399"/>
      <c r="AN127" s="399"/>
      <c r="AO127" s="399"/>
      <c r="AR127" s="40"/>
      <c r="AS127" s="40"/>
      <c r="AT127" s="40"/>
    </row>
    <row r="128" spans="10:46" hidden="1" x14ac:dyDescent="0.25">
      <c r="J128" s="399"/>
      <c r="K128" s="399"/>
      <c r="L128" s="399"/>
      <c r="M128" s="399"/>
      <c r="N128" s="399"/>
      <c r="O128" s="399"/>
      <c r="P128" s="399"/>
      <c r="Q128" s="399"/>
      <c r="R128" s="399"/>
      <c r="S128" s="399"/>
      <c r="T128" s="399"/>
      <c r="U128" s="399"/>
      <c r="V128" s="399"/>
      <c r="W128" s="399"/>
      <c r="X128" s="399"/>
      <c r="Y128" s="399"/>
      <c r="Z128" s="399"/>
      <c r="AA128" s="399"/>
      <c r="AB128" s="399"/>
      <c r="AC128" s="399"/>
      <c r="AD128" s="399"/>
      <c r="AE128" s="399"/>
      <c r="AF128" s="399"/>
      <c r="AG128" s="399"/>
      <c r="AH128" s="399"/>
      <c r="AI128" s="399"/>
      <c r="AJ128" s="399"/>
      <c r="AK128" s="399"/>
      <c r="AL128" s="399"/>
      <c r="AM128" s="399"/>
      <c r="AN128" s="399"/>
      <c r="AO128" s="399"/>
      <c r="AR128" s="374"/>
    </row>
    <row r="129" spans="10:46" hidden="1" x14ac:dyDescent="0.25">
      <c r="J129" s="399"/>
      <c r="K129" s="399"/>
      <c r="L129" s="399"/>
      <c r="M129" s="399"/>
      <c r="N129" s="399"/>
      <c r="O129" s="399"/>
      <c r="P129" s="399"/>
      <c r="Q129" s="399"/>
      <c r="R129" s="399"/>
      <c r="S129" s="399"/>
      <c r="T129" s="399"/>
      <c r="U129" s="399"/>
      <c r="V129" s="399"/>
      <c r="W129" s="399"/>
      <c r="X129" s="399"/>
      <c r="Y129" s="399"/>
      <c r="Z129" s="399"/>
      <c r="AA129" s="399"/>
      <c r="AB129" s="399"/>
      <c r="AC129" s="399"/>
      <c r="AD129" s="399"/>
      <c r="AE129" s="399"/>
      <c r="AF129" s="399"/>
      <c r="AG129" s="399"/>
      <c r="AH129" s="399"/>
      <c r="AI129" s="399"/>
      <c r="AJ129" s="399"/>
      <c r="AK129" s="399"/>
      <c r="AL129" s="399"/>
      <c r="AM129" s="399"/>
      <c r="AN129" s="399"/>
      <c r="AO129" s="399"/>
      <c r="AR129" s="374"/>
    </row>
    <row r="130" spans="10:46" ht="45" hidden="1" customHeight="1" x14ac:dyDescent="0.25">
      <c r="J130" s="399"/>
      <c r="K130" s="399"/>
      <c r="L130" s="399"/>
      <c r="M130" s="399"/>
      <c r="N130" s="399"/>
      <c r="O130" s="399"/>
      <c r="P130" s="399"/>
      <c r="Q130" s="399"/>
      <c r="R130" s="399"/>
      <c r="S130" s="399"/>
      <c r="T130" s="399"/>
      <c r="U130" s="399"/>
      <c r="V130" s="399"/>
      <c r="W130" s="399"/>
      <c r="X130" s="399"/>
      <c r="Y130" s="399"/>
      <c r="Z130" s="399"/>
      <c r="AA130" s="399"/>
      <c r="AB130" s="399"/>
      <c r="AC130" s="399"/>
      <c r="AD130" s="399"/>
      <c r="AE130" s="399"/>
      <c r="AF130" s="399"/>
      <c r="AG130" s="399"/>
      <c r="AH130" s="399"/>
      <c r="AI130" s="399"/>
      <c r="AJ130" s="399"/>
      <c r="AK130" s="399"/>
      <c r="AL130" s="399"/>
      <c r="AM130" s="399"/>
      <c r="AN130" s="399"/>
      <c r="AO130" s="399"/>
      <c r="AR130" s="40"/>
      <c r="AS130" s="40"/>
      <c r="AT130" s="40"/>
    </row>
    <row r="131" spans="10:46" ht="30" hidden="1" customHeight="1" x14ac:dyDescent="0.25">
      <c r="J131" s="399"/>
      <c r="K131" s="399"/>
      <c r="L131" s="399"/>
      <c r="M131" s="399"/>
      <c r="N131" s="399"/>
      <c r="O131" s="399"/>
      <c r="P131" s="399"/>
      <c r="Q131" s="399"/>
      <c r="R131" s="399"/>
      <c r="S131" s="399"/>
      <c r="T131" s="399"/>
      <c r="U131" s="399"/>
      <c r="V131" s="399"/>
      <c r="W131" s="399"/>
      <c r="X131" s="399"/>
      <c r="Y131" s="399"/>
      <c r="Z131" s="399"/>
      <c r="AA131" s="399"/>
      <c r="AB131" s="399"/>
      <c r="AC131" s="399"/>
      <c r="AD131" s="399"/>
      <c r="AE131" s="399"/>
      <c r="AF131" s="399"/>
      <c r="AG131" s="399"/>
      <c r="AH131" s="399"/>
      <c r="AI131" s="399"/>
      <c r="AJ131" s="399"/>
      <c r="AK131" s="399"/>
      <c r="AL131" s="399"/>
      <c r="AM131" s="399"/>
      <c r="AN131" s="399"/>
      <c r="AO131" s="399"/>
      <c r="AR131" s="40"/>
      <c r="AS131" s="40"/>
      <c r="AT131" s="40"/>
    </row>
    <row r="132" spans="10:46" ht="30" hidden="1" customHeight="1" x14ac:dyDescent="0.25">
      <c r="J132" s="399"/>
      <c r="K132" s="399"/>
      <c r="L132" s="399"/>
      <c r="M132" s="399"/>
      <c r="N132" s="399"/>
      <c r="O132" s="399"/>
      <c r="P132" s="399"/>
      <c r="Q132" s="399"/>
      <c r="R132" s="399"/>
      <c r="S132" s="399"/>
      <c r="T132" s="399"/>
      <c r="U132" s="399"/>
      <c r="V132" s="399"/>
      <c r="W132" s="399"/>
      <c r="X132" s="399"/>
      <c r="Y132" s="399"/>
      <c r="Z132" s="399"/>
      <c r="AA132" s="399"/>
      <c r="AB132" s="399"/>
      <c r="AC132" s="399"/>
      <c r="AD132" s="399"/>
      <c r="AE132" s="399"/>
      <c r="AF132" s="399"/>
      <c r="AG132" s="399"/>
      <c r="AH132" s="399"/>
      <c r="AI132" s="399"/>
      <c r="AJ132" s="399"/>
      <c r="AK132" s="399"/>
      <c r="AL132" s="399"/>
      <c r="AM132" s="399"/>
      <c r="AN132" s="399"/>
      <c r="AO132" s="399"/>
      <c r="AR132" s="40"/>
      <c r="AS132" s="40"/>
      <c r="AT132" s="40"/>
    </row>
    <row r="133" spans="10:46" ht="30" hidden="1" customHeight="1" x14ac:dyDescent="0.25">
      <c r="J133" s="399"/>
      <c r="K133" s="399"/>
      <c r="L133" s="399"/>
      <c r="M133" s="399"/>
      <c r="N133" s="399"/>
      <c r="O133" s="399"/>
      <c r="P133" s="399"/>
      <c r="Q133" s="399"/>
      <c r="R133" s="399"/>
      <c r="S133" s="399"/>
      <c r="T133" s="399"/>
      <c r="U133" s="399"/>
      <c r="V133" s="399"/>
      <c r="W133" s="399"/>
      <c r="X133" s="399"/>
      <c r="Y133" s="399"/>
      <c r="Z133" s="399"/>
      <c r="AA133" s="399"/>
      <c r="AB133" s="399"/>
      <c r="AC133" s="399"/>
      <c r="AD133" s="399"/>
      <c r="AE133" s="399"/>
      <c r="AF133" s="399"/>
      <c r="AG133" s="399"/>
      <c r="AH133" s="399"/>
      <c r="AI133" s="399"/>
      <c r="AJ133" s="399"/>
      <c r="AK133" s="399"/>
      <c r="AL133" s="399"/>
      <c r="AM133" s="399"/>
      <c r="AN133" s="399"/>
      <c r="AO133" s="399"/>
      <c r="AR133" s="40"/>
      <c r="AS133" s="40"/>
      <c r="AT133" s="40"/>
    </row>
    <row r="134" spans="10:46" ht="30" hidden="1" customHeight="1" x14ac:dyDescent="0.25">
      <c r="J134" s="399"/>
      <c r="K134" s="399"/>
      <c r="L134" s="399"/>
      <c r="M134" s="399"/>
      <c r="N134" s="399"/>
      <c r="O134" s="399"/>
      <c r="P134" s="399"/>
      <c r="Q134" s="399"/>
      <c r="R134" s="399"/>
      <c r="S134" s="399"/>
      <c r="T134" s="399"/>
      <c r="U134" s="399"/>
      <c r="V134" s="399"/>
      <c r="W134" s="399"/>
      <c r="X134" s="399"/>
      <c r="Y134" s="399"/>
      <c r="Z134" s="399"/>
      <c r="AA134" s="399"/>
      <c r="AB134" s="399"/>
      <c r="AC134" s="399"/>
      <c r="AD134" s="399"/>
      <c r="AE134" s="399"/>
      <c r="AF134" s="399"/>
      <c r="AG134" s="399"/>
      <c r="AH134" s="399"/>
      <c r="AI134" s="399"/>
      <c r="AJ134" s="399"/>
      <c r="AK134" s="399"/>
      <c r="AL134" s="399"/>
      <c r="AM134" s="399"/>
      <c r="AN134" s="399"/>
      <c r="AO134" s="399"/>
      <c r="AR134" s="40"/>
      <c r="AS134" s="40"/>
      <c r="AT134" s="40"/>
    </row>
    <row r="135" spans="10:46" ht="30" hidden="1" customHeight="1" x14ac:dyDescent="0.25">
      <c r="J135" s="399"/>
      <c r="K135" s="399"/>
      <c r="L135" s="399"/>
      <c r="M135" s="399"/>
      <c r="N135" s="399"/>
      <c r="O135" s="399"/>
      <c r="P135" s="399"/>
      <c r="Q135" s="399"/>
      <c r="R135" s="399"/>
      <c r="S135" s="399"/>
      <c r="T135" s="399"/>
      <c r="U135" s="399"/>
      <c r="V135" s="399"/>
      <c r="W135" s="399"/>
      <c r="X135" s="399"/>
      <c r="Y135" s="399"/>
      <c r="Z135" s="399"/>
      <c r="AA135" s="399"/>
      <c r="AB135" s="399"/>
      <c r="AC135" s="399"/>
      <c r="AD135" s="399"/>
      <c r="AE135" s="399"/>
      <c r="AF135" s="399"/>
      <c r="AG135" s="399"/>
      <c r="AH135" s="399"/>
      <c r="AI135" s="399"/>
      <c r="AJ135" s="399"/>
      <c r="AK135" s="399"/>
      <c r="AL135" s="399"/>
      <c r="AM135" s="399"/>
      <c r="AN135" s="399"/>
      <c r="AO135" s="399"/>
      <c r="AR135" s="40"/>
      <c r="AS135" s="40"/>
      <c r="AT135" s="40"/>
    </row>
    <row r="136" spans="10:46" ht="17.100000000000001" hidden="1" customHeight="1" x14ac:dyDescent="0.25">
      <c r="J136" s="399"/>
      <c r="K136" s="399"/>
      <c r="L136" s="399"/>
      <c r="M136" s="399"/>
      <c r="N136" s="399"/>
      <c r="O136" s="399"/>
      <c r="P136" s="399"/>
      <c r="Q136" s="399"/>
      <c r="R136" s="399"/>
      <c r="S136" s="399"/>
      <c r="T136" s="399"/>
      <c r="U136" s="399"/>
      <c r="V136" s="399"/>
      <c r="W136" s="399"/>
      <c r="X136" s="399"/>
      <c r="Y136" s="399"/>
      <c r="Z136" s="399"/>
      <c r="AA136" s="399"/>
      <c r="AB136" s="399"/>
      <c r="AC136" s="399"/>
      <c r="AD136" s="399"/>
      <c r="AE136" s="399"/>
      <c r="AF136" s="399"/>
      <c r="AG136" s="399"/>
      <c r="AH136" s="399"/>
      <c r="AI136" s="399"/>
      <c r="AJ136" s="399"/>
      <c r="AK136" s="399"/>
      <c r="AL136" s="399"/>
      <c r="AM136" s="399"/>
      <c r="AN136" s="399"/>
      <c r="AO136" s="399"/>
      <c r="AR136" s="40"/>
      <c r="AS136" s="40"/>
      <c r="AT136" s="40"/>
    </row>
    <row r="137" spans="10:46" hidden="1" x14ac:dyDescent="0.25">
      <c r="J137" s="399"/>
      <c r="K137" s="399"/>
      <c r="L137" s="399"/>
      <c r="M137" s="399"/>
      <c r="N137" s="399"/>
      <c r="O137" s="399"/>
      <c r="P137" s="399"/>
      <c r="Q137" s="399"/>
      <c r="R137" s="399"/>
      <c r="S137" s="399"/>
      <c r="T137" s="399"/>
      <c r="U137" s="399"/>
      <c r="V137" s="399"/>
      <c r="W137" s="399"/>
      <c r="X137" s="399"/>
      <c r="Y137" s="399"/>
      <c r="Z137" s="399"/>
      <c r="AA137" s="399"/>
      <c r="AB137" s="399"/>
      <c r="AC137" s="399"/>
      <c r="AD137" s="399"/>
      <c r="AE137" s="399"/>
      <c r="AF137" s="399"/>
      <c r="AG137" s="399"/>
      <c r="AH137" s="399"/>
      <c r="AI137" s="399"/>
      <c r="AJ137" s="399"/>
      <c r="AK137" s="399"/>
      <c r="AL137" s="399"/>
      <c r="AM137" s="399"/>
      <c r="AN137" s="399"/>
      <c r="AO137" s="399"/>
      <c r="AR137" s="374"/>
    </row>
    <row r="138" spans="10:46" hidden="1" x14ac:dyDescent="0.25">
      <c r="J138" s="399"/>
      <c r="K138" s="399"/>
      <c r="L138" s="399"/>
      <c r="M138" s="399"/>
      <c r="N138" s="399"/>
      <c r="O138" s="399"/>
      <c r="P138" s="399"/>
      <c r="Q138" s="399"/>
      <c r="R138" s="399"/>
      <c r="S138" s="399"/>
      <c r="T138" s="399"/>
      <c r="U138" s="399"/>
      <c r="V138" s="399"/>
      <c r="W138" s="399"/>
      <c r="X138" s="399"/>
      <c r="Y138" s="399"/>
      <c r="Z138" s="399"/>
      <c r="AA138" s="399"/>
      <c r="AB138" s="399"/>
      <c r="AC138" s="399"/>
      <c r="AD138" s="399"/>
      <c r="AE138" s="399"/>
      <c r="AF138" s="399"/>
      <c r="AG138" s="399"/>
      <c r="AH138" s="399"/>
      <c r="AI138" s="399"/>
      <c r="AJ138" s="399"/>
      <c r="AK138" s="399"/>
      <c r="AL138" s="399"/>
      <c r="AM138" s="399"/>
      <c r="AN138" s="399"/>
      <c r="AO138" s="399"/>
      <c r="AR138" s="374"/>
    </row>
    <row r="139" spans="10:46" ht="30" hidden="1" customHeight="1" x14ac:dyDescent="0.25">
      <c r="J139" s="399"/>
      <c r="K139" s="399"/>
      <c r="L139" s="399"/>
      <c r="M139" s="399"/>
      <c r="N139" s="399"/>
      <c r="O139" s="399"/>
      <c r="P139" s="399"/>
      <c r="Q139" s="399"/>
      <c r="R139" s="399"/>
      <c r="S139" s="399"/>
      <c r="T139" s="399"/>
      <c r="U139" s="399"/>
      <c r="V139" s="399"/>
      <c r="W139" s="399"/>
      <c r="X139" s="399"/>
      <c r="Y139" s="399"/>
      <c r="Z139" s="399"/>
      <c r="AA139" s="399"/>
      <c r="AB139" s="399"/>
      <c r="AC139" s="399"/>
      <c r="AD139" s="399"/>
      <c r="AE139" s="399"/>
      <c r="AF139" s="399"/>
      <c r="AG139" s="399"/>
      <c r="AH139" s="399"/>
      <c r="AI139" s="399"/>
      <c r="AJ139" s="399"/>
      <c r="AK139" s="399"/>
      <c r="AL139" s="399"/>
      <c r="AM139" s="399"/>
      <c r="AN139" s="399"/>
      <c r="AO139" s="399"/>
      <c r="AR139" s="40"/>
      <c r="AS139" s="40"/>
      <c r="AT139" s="40"/>
    </row>
    <row r="140" spans="10:46" ht="30" hidden="1" customHeight="1" x14ac:dyDescent="0.25">
      <c r="J140" s="399"/>
      <c r="K140" s="399"/>
      <c r="L140" s="399"/>
      <c r="M140" s="399"/>
      <c r="N140" s="399"/>
      <c r="O140" s="399"/>
      <c r="P140" s="399"/>
      <c r="Q140" s="399"/>
      <c r="R140" s="399"/>
      <c r="S140" s="399"/>
      <c r="T140" s="399"/>
      <c r="U140" s="399"/>
      <c r="V140" s="399"/>
      <c r="W140" s="399"/>
      <c r="X140" s="399"/>
      <c r="Y140" s="399"/>
      <c r="Z140" s="399"/>
      <c r="AA140" s="399"/>
      <c r="AB140" s="399"/>
      <c r="AC140" s="399"/>
      <c r="AD140" s="399"/>
      <c r="AE140" s="399"/>
      <c r="AF140" s="399"/>
      <c r="AG140" s="399"/>
      <c r="AH140" s="399"/>
      <c r="AI140" s="399"/>
      <c r="AJ140" s="399"/>
      <c r="AK140" s="399"/>
      <c r="AL140" s="399"/>
      <c r="AM140" s="399"/>
      <c r="AN140" s="399"/>
      <c r="AO140" s="399"/>
      <c r="AR140" s="40"/>
      <c r="AS140" s="40"/>
      <c r="AT140" s="40"/>
    </row>
    <row r="141" spans="10:46" ht="30" hidden="1" customHeight="1" x14ac:dyDescent="0.25">
      <c r="J141" s="399"/>
      <c r="K141" s="399"/>
      <c r="L141" s="399"/>
      <c r="M141" s="399"/>
      <c r="N141" s="399"/>
      <c r="O141" s="399"/>
      <c r="P141" s="399"/>
      <c r="Q141" s="399"/>
      <c r="R141" s="399"/>
      <c r="S141" s="399"/>
      <c r="T141" s="399"/>
      <c r="U141" s="399"/>
      <c r="V141" s="399"/>
      <c r="W141" s="399"/>
      <c r="X141" s="399"/>
      <c r="Y141" s="399"/>
      <c r="Z141" s="399"/>
      <c r="AA141" s="399"/>
      <c r="AB141" s="399"/>
      <c r="AC141" s="399"/>
      <c r="AD141" s="399"/>
      <c r="AE141" s="399"/>
      <c r="AF141" s="399"/>
      <c r="AG141" s="399"/>
      <c r="AH141" s="399"/>
      <c r="AI141" s="399"/>
      <c r="AJ141" s="399"/>
      <c r="AK141" s="399"/>
      <c r="AL141" s="399"/>
      <c r="AM141" s="399"/>
      <c r="AN141" s="399"/>
      <c r="AO141" s="399"/>
      <c r="AR141" s="40"/>
      <c r="AS141" s="40"/>
      <c r="AT141" s="40"/>
    </row>
    <row r="142" spans="10:46" ht="45" hidden="1" customHeight="1" x14ac:dyDescent="0.25">
      <c r="J142" s="399"/>
      <c r="K142" s="399"/>
      <c r="L142" s="399"/>
      <c r="M142" s="399"/>
      <c r="N142" s="399"/>
      <c r="O142" s="399"/>
      <c r="P142" s="399"/>
      <c r="Q142" s="399"/>
      <c r="R142" s="399"/>
      <c r="S142" s="399"/>
      <c r="T142" s="399"/>
      <c r="U142" s="399"/>
      <c r="V142" s="399"/>
      <c r="W142" s="399"/>
      <c r="X142" s="399"/>
      <c r="Y142" s="399"/>
      <c r="Z142" s="399"/>
      <c r="AA142" s="399"/>
      <c r="AB142" s="399"/>
      <c r="AC142" s="399"/>
      <c r="AD142" s="399"/>
      <c r="AE142" s="399"/>
      <c r="AF142" s="399"/>
      <c r="AG142" s="399"/>
      <c r="AH142" s="399"/>
      <c r="AI142" s="399"/>
      <c r="AJ142" s="399"/>
      <c r="AK142" s="399"/>
      <c r="AL142" s="399"/>
      <c r="AM142" s="399"/>
      <c r="AN142" s="399"/>
      <c r="AO142" s="399"/>
      <c r="AR142" s="40"/>
      <c r="AS142" s="40"/>
      <c r="AT142" s="40"/>
    </row>
    <row r="143" spans="10:46" hidden="1" x14ac:dyDescent="0.25">
      <c r="J143" s="399"/>
      <c r="K143" s="399"/>
      <c r="L143" s="399"/>
      <c r="M143" s="399"/>
      <c r="N143" s="399"/>
      <c r="O143" s="399"/>
      <c r="P143" s="399"/>
      <c r="Q143" s="399"/>
      <c r="R143" s="399"/>
      <c r="S143" s="399"/>
      <c r="T143" s="399"/>
      <c r="U143" s="399"/>
      <c r="V143" s="399"/>
      <c r="W143" s="399"/>
      <c r="X143" s="399"/>
      <c r="Y143" s="399"/>
      <c r="Z143" s="399"/>
      <c r="AA143" s="399"/>
      <c r="AB143" s="399"/>
      <c r="AC143" s="399"/>
      <c r="AD143" s="399"/>
      <c r="AE143" s="399"/>
      <c r="AF143" s="399"/>
      <c r="AG143" s="399"/>
      <c r="AH143" s="399"/>
      <c r="AI143" s="399"/>
      <c r="AJ143" s="399"/>
      <c r="AK143" s="399"/>
      <c r="AL143" s="399"/>
      <c r="AM143" s="399"/>
      <c r="AN143" s="399"/>
      <c r="AO143" s="399"/>
      <c r="AR143" s="374"/>
    </row>
    <row r="144" spans="10:46" hidden="1" x14ac:dyDescent="0.25">
      <c r="J144" s="399"/>
      <c r="K144" s="399"/>
      <c r="L144" s="399"/>
      <c r="M144" s="399"/>
      <c r="N144" s="399"/>
      <c r="O144" s="399"/>
      <c r="P144" s="399"/>
      <c r="Q144" s="399"/>
      <c r="R144" s="399"/>
      <c r="S144" s="399"/>
      <c r="T144" s="399"/>
      <c r="U144" s="399"/>
      <c r="V144" s="399"/>
      <c r="W144" s="399"/>
      <c r="X144" s="399"/>
      <c r="Y144" s="399"/>
      <c r="Z144" s="399"/>
      <c r="AA144" s="399"/>
      <c r="AB144" s="399"/>
      <c r="AC144" s="399"/>
      <c r="AD144" s="399"/>
      <c r="AE144" s="399"/>
      <c r="AF144" s="399"/>
      <c r="AG144" s="399"/>
      <c r="AH144" s="399"/>
      <c r="AI144" s="399"/>
      <c r="AJ144" s="399"/>
      <c r="AK144" s="399"/>
      <c r="AL144" s="399"/>
      <c r="AM144" s="399"/>
      <c r="AN144" s="399"/>
      <c r="AO144" s="399"/>
      <c r="AR144" s="374"/>
    </row>
    <row r="145" spans="10:46" ht="30" hidden="1" customHeight="1" x14ac:dyDescent="0.25">
      <c r="J145" s="399"/>
      <c r="K145" s="399"/>
      <c r="L145" s="399"/>
      <c r="M145" s="399"/>
      <c r="N145" s="399"/>
      <c r="O145" s="399"/>
      <c r="P145" s="399"/>
      <c r="Q145" s="399"/>
      <c r="R145" s="399"/>
      <c r="S145" s="399"/>
      <c r="T145" s="399"/>
      <c r="U145" s="399"/>
      <c r="V145" s="399"/>
      <c r="W145" s="399"/>
      <c r="X145" s="399"/>
      <c r="Y145" s="399"/>
      <c r="Z145" s="399"/>
      <c r="AA145" s="399"/>
      <c r="AB145" s="399"/>
      <c r="AC145" s="399"/>
      <c r="AD145" s="399"/>
      <c r="AE145" s="399"/>
      <c r="AF145" s="399"/>
      <c r="AG145" s="399"/>
      <c r="AH145" s="399"/>
      <c r="AI145" s="399"/>
      <c r="AJ145" s="399"/>
      <c r="AK145" s="399"/>
      <c r="AL145" s="399"/>
      <c r="AM145" s="399"/>
      <c r="AN145" s="399"/>
      <c r="AO145" s="399"/>
      <c r="AR145" s="40"/>
      <c r="AS145" s="40"/>
      <c r="AT145" s="40"/>
    </row>
    <row r="146" spans="10:46" ht="17.100000000000001" hidden="1" customHeight="1" x14ac:dyDescent="0.25">
      <c r="J146" s="399"/>
      <c r="K146" s="399"/>
      <c r="L146" s="399"/>
      <c r="M146" s="399"/>
      <c r="N146" s="399"/>
      <c r="O146" s="399"/>
      <c r="P146" s="399"/>
      <c r="Q146" s="399"/>
      <c r="R146" s="399"/>
      <c r="S146" s="399"/>
      <c r="T146" s="399"/>
      <c r="U146" s="399"/>
      <c r="V146" s="399"/>
      <c r="W146" s="399"/>
      <c r="X146" s="399"/>
      <c r="Y146" s="399"/>
      <c r="Z146" s="399"/>
      <c r="AA146" s="399"/>
      <c r="AB146" s="399"/>
      <c r="AC146" s="399"/>
      <c r="AD146" s="399"/>
      <c r="AE146" s="399"/>
      <c r="AF146" s="399"/>
      <c r="AG146" s="399"/>
      <c r="AH146" s="399"/>
      <c r="AI146" s="399"/>
      <c r="AJ146" s="399"/>
      <c r="AK146" s="399"/>
      <c r="AL146" s="399"/>
      <c r="AM146" s="399"/>
      <c r="AN146" s="399"/>
      <c r="AO146" s="399"/>
      <c r="AR146" s="40"/>
      <c r="AS146" s="40"/>
      <c r="AT146" s="40"/>
    </row>
    <row r="147" spans="10:46" ht="30" hidden="1" customHeight="1" x14ac:dyDescent="0.25">
      <c r="J147" s="399"/>
      <c r="K147" s="399"/>
      <c r="L147" s="399"/>
      <c r="M147" s="399"/>
      <c r="N147" s="399"/>
      <c r="O147" s="399"/>
      <c r="P147" s="399"/>
      <c r="Q147" s="399"/>
      <c r="R147" s="399"/>
      <c r="S147" s="399"/>
      <c r="T147" s="399"/>
      <c r="U147" s="399"/>
      <c r="V147" s="399"/>
      <c r="W147" s="399"/>
      <c r="X147" s="399"/>
      <c r="Y147" s="399"/>
      <c r="Z147" s="399"/>
      <c r="AA147" s="399"/>
      <c r="AB147" s="399"/>
      <c r="AC147" s="399"/>
      <c r="AD147" s="399"/>
      <c r="AE147" s="399"/>
      <c r="AF147" s="399"/>
      <c r="AG147" s="399"/>
      <c r="AH147" s="399"/>
      <c r="AI147" s="399"/>
      <c r="AJ147" s="399"/>
      <c r="AK147" s="399"/>
      <c r="AL147" s="399"/>
      <c r="AM147" s="399"/>
      <c r="AN147" s="399"/>
      <c r="AO147" s="399"/>
      <c r="AR147" s="40"/>
      <c r="AS147" s="40"/>
      <c r="AT147" s="40"/>
    </row>
    <row r="148" spans="10:46" ht="30" hidden="1" customHeight="1" x14ac:dyDescent="0.25">
      <c r="J148" s="443"/>
      <c r="K148" s="443"/>
      <c r="L148" s="443"/>
      <c r="M148" s="443"/>
      <c r="N148" s="443"/>
      <c r="O148" s="443"/>
      <c r="P148" s="443"/>
      <c r="Q148" s="443"/>
      <c r="R148" s="443"/>
      <c r="S148" s="443"/>
      <c r="T148" s="443"/>
      <c r="U148" s="443"/>
      <c r="V148" s="443"/>
      <c r="W148" s="443"/>
      <c r="X148" s="443"/>
      <c r="Y148" s="443"/>
      <c r="Z148" s="443"/>
      <c r="AA148" s="443"/>
      <c r="AB148" s="443"/>
      <c r="AC148" s="443"/>
      <c r="AD148" s="443"/>
      <c r="AE148" s="443"/>
      <c r="AF148" s="443"/>
      <c r="AG148" s="443"/>
      <c r="AH148" s="443"/>
      <c r="AI148" s="443"/>
      <c r="AJ148" s="443"/>
      <c r="AK148" s="443"/>
      <c r="AL148" s="443"/>
      <c r="AM148" s="443"/>
      <c r="AN148" s="443"/>
      <c r="AO148" s="443"/>
      <c r="AR148" s="40"/>
      <c r="AS148" s="40"/>
      <c r="AT148" s="40"/>
    </row>
    <row r="149" spans="10:46" ht="17.100000000000001" hidden="1" customHeight="1" x14ac:dyDescent="0.25">
      <c r="J149" s="399"/>
      <c r="K149" s="399"/>
      <c r="L149" s="399"/>
      <c r="M149" s="399"/>
      <c r="N149" s="399"/>
      <c r="O149" s="399"/>
      <c r="P149" s="399"/>
      <c r="Q149" s="399"/>
      <c r="R149" s="399"/>
      <c r="S149" s="399"/>
      <c r="T149" s="399"/>
      <c r="U149" s="399"/>
      <c r="V149" s="399"/>
      <c r="W149" s="399"/>
      <c r="X149" s="399"/>
      <c r="Y149" s="399"/>
      <c r="Z149" s="399"/>
      <c r="AA149" s="399"/>
      <c r="AB149" s="399"/>
      <c r="AC149" s="399"/>
      <c r="AD149" s="399"/>
      <c r="AE149" s="399"/>
      <c r="AF149" s="399"/>
      <c r="AG149" s="399"/>
      <c r="AH149" s="399"/>
      <c r="AI149" s="399"/>
      <c r="AJ149" s="399"/>
      <c r="AK149" s="399"/>
      <c r="AL149" s="399"/>
      <c r="AM149" s="399"/>
      <c r="AN149" s="399"/>
      <c r="AO149" s="399"/>
      <c r="AR149" s="40"/>
      <c r="AS149" s="40"/>
      <c r="AT149" s="40"/>
    </row>
    <row r="150" spans="10:46" hidden="1" x14ac:dyDescent="0.25">
      <c r="J150" s="399"/>
      <c r="K150" s="399"/>
      <c r="L150" s="399"/>
      <c r="M150" s="399"/>
      <c r="N150" s="399"/>
      <c r="O150" s="399"/>
      <c r="P150" s="399"/>
      <c r="Q150" s="399"/>
      <c r="R150" s="399"/>
      <c r="S150" s="399"/>
      <c r="T150" s="399"/>
      <c r="U150" s="399"/>
      <c r="V150" s="399"/>
      <c r="W150" s="399"/>
      <c r="X150" s="399"/>
      <c r="Y150" s="399"/>
      <c r="Z150" s="399"/>
      <c r="AA150" s="399"/>
      <c r="AB150" s="399"/>
      <c r="AC150" s="399"/>
      <c r="AD150" s="399"/>
      <c r="AE150" s="399"/>
      <c r="AF150" s="399"/>
      <c r="AG150" s="399"/>
      <c r="AH150" s="399"/>
      <c r="AI150" s="399"/>
      <c r="AJ150" s="399"/>
      <c r="AK150" s="399"/>
      <c r="AL150" s="399"/>
      <c r="AM150" s="399"/>
      <c r="AN150" s="399"/>
      <c r="AO150" s="399"/>
    </row>
  </sheetData>
  <sheetProtection password="D65F" sheet="1" objects="1" scenarios="1"/>
  <mergeCells count="114">
    <mergeCell ref="L49:Q49"/>
    <mergeCell ref="L50:Q51"/>
    <mergeCell ref="V33:W33"/>
    <mergeCell ref="V35:W35"/>
    <mergeCell ref="V37:W37"/>
    <mergeCell ref="AN2:AN4"/>
    <mergeCell ref="AM10:AQ10"/>
    <mergeCell ref="AM11:AQ11"/>
    <mergeCell ref="BA36:BD36"/>
    <mergeCell ref="L26:M26"/>
    <mergeCell ref="L27:M27"/>
    <mergeCell ref="L28:M28"/>
    <mergeCell ref="AJ35:AN35"/>
    <mergeCell ref="AJ36:AN36"/>
    <mergeCell ref="L21:M21"/>
    <mergeCell ref="L22:M22"/>
    <mergeCell ref="L23:M23"/>
    <mergeCell ref="P15:P16"/>
    <mergeCell ref="Q15:Q16"/>
    <mergeCell ref="L24:M24"/>
    <mergeCell ref="Z15:Z16"/>
    <mergeCell ref="Y15:Y16"/>
    <mergeCell ref="X15:X16"/>
    <mergeCell ref="AU14:AY14"/>
    <mergeCell ref="AU5:AX5"/>
    <mergeCell ref="AJ15:AK17"/>
    <mergeCell ref="AJ37:AN37"/>
    <mergeCell ref="AJ38:AN38"/>
    <mergeCell ref="AJ39:AN39"/>
    <mergeCell ref="U25:V26"/>
    <mergeCell ref="L36:N36"/>
    <mergeCell ref="L29:M29"/>
    <mergeCell ref="L30:M30"/>
    <mergeCell ref="L31:M31"/>
    <mergeCell ref="L32:M32"/>
    <mergeCell ref="AJ31:AN31"/>
    <mergeCell ref="AJ32:AN32"/>
    <mergeCell ref="L25:M25"/>
    <mergeCell ref="L35:N35"/>
    <mergeCell ref="AJ28:AN28"/>
    <mergeCell ref="AJ29:AN29"/>
    <mergeCell ref="AJ30:AN30"/>
    <mergeCell ref="AJ27:AN27"/>
    <mergeCell ref="AJ25:AN25"/>
    <mergeCell ref="V38:W38"/>
    <mergeCell ref="V36:W36"/>
    <mergeCell ref="V39:W39"/>
    <mergeCell ref="V30:W30"/>
    <mergeCell ref="V31:W31"/>
    <mergeCell ref="V32:W32"/>
    <mergeCell ref="C14:E14"/>
    <mergeCell ref="F14:H14"/>
    <mergeCell ref="L16:M16"/>
    <mergeCell ref="L17:M17"/>
    <mergeCell ref="L18:M18"/>
    <mergeCell ref="C17:E17"/>
    <mergeCell ref="O14:Q14"/>
    <mergeCell ref="N15:N16"/>
    <mergeCell ref="O15:O16"/>
    <mergeCell ref="L15:M15"/>
    <mergeCell ref="L19:M19"/>
    <mergeCell ref="L20:M20"/>
    <mergeCell ref="AJ5:AM5"/>
    <mergeCell ref="AJ26:AN26"/>
    <mergeCell ref="AD5:AF5"/>
    <mergeCell ref="AD17:AE17"/>
    <mergeCell ref="AD19:AE19"/>
    <mergeCell ref="AD14:AF14"/>
    <mergeCell ref="AD18:AE18"/>
    <mergeCell ref="U14:W14"/>
    <mergeCell ref="X14:Z14"/>
    <mergeCell ref="W25:W26"/>
    <mergeCell ref="X25:Y26"/>
    <mergeCell ref="Z25:Z26"/>
    <mergeCell ref="AJ59:AN59"/>
    <mergeCell ref="AJ63:AN63"/>
    <mergeCell ref="AJ64:AN64"/>
    <mergeCell ref="AJ65:AN65"/>
    <mergeCell ref="AJ43:AN43"/>
    <mergeCell ref="AJ46:AN46"/>
    <mergeCell ref="AJ54:AN54"/>
    <mergeCell ref="AJ55:AN55"/>
    <mergeCell ref="AJ56:AN56"/>
    <mergeCell ref="AJ57:AN57"/>
    <mergeCell ref="AJ58:AN58"/>
    <mergeCell ref="AJ47:AN47"/>
    <mergeCell ref="AJ48:AN48"/>
    <mergeCell ref="AJ49:AN49"/>
    <mergeCell ref="AJ50:AN50"/>
    <mergeCell ref="AJ53:AN53"/>
    <mergeCell ref="BC37:BD37"/>
    <mergeCell ref="BA37:BB37"/>
    <mergeCell ref="AJ40:AN40"/>
    <mergeCell ref="AJ41:AN41"/>
    <mergeCell ref="AJ42:AN42"/>
    <mergeCell ref="C33:H33"/>
    <mergeCell ref="C34:H35"/>
    <mergeCell ref="AJ76:AN76"/>
    <mergeCell ref="AJ74:AN74"/>
    <mergeCell ref="AJ70:AN70"/>
    <mergeCell ref="AJ69:AN69"/>
    <mergeCell ref="AJ73:AN73"/>
    <mergeCell ref="AJ75:AN75"/>
    <mergeCell ref="AJ71:AN71"/>
    <mergeCell ref="AJ72:AN72"/>
    <mergeCell ref="AJ33:AN33"/>
    <mergeCell ref="AJ44:AN44"/>
    <mergeCell ref="AJ34:AN34"/>
    <mergeCell ref="AJ45:AN45"/>
    <mergeCell ref="AJ51:AN51"/>
    <mergeCell ref="AJ52:AN52"/>
    <mergeCell ref="AJ61:AN61"/>
    <mergeCell ref="AJ66:AN66"/>
    <mergeCell ref="AJ60:AN60"/>
  </mergeCells>
  <conditionalFormatting sqref="O36">
    <cfRule type="expression" dxfId="408" priority="193">
      <formula>IF(ISERROR(O36)=TRUE,TRUE,FALSE)</formula>
    </cfRule>
  </conditionalFormatting>
  <conditionalFormatting sqref="P36">
    <cfRule type="expression" dxfId="407" priority="192">
      <formula>IF(ISERROR(P36)=TRUE,TRUE,FALSE)</formula>
    </cfRule>
  </conditionalFormatting>
  <conditionalFormatting sqref="Q36">
    <cfRule type="expression" dxfId="406" priority="191">
      <formula>IF(ISERROR(Q36)=TRUE,TRUE,FALSE)</formula>
    </cfRule>
  </conditionalFormatting>
  <conditionalFormatting sqref="F18">
    <cfRule type="expression" dxfId="405" priority="154">
      <formula>IF(ISERROR(F18)=TRUE,TRUE,FALSE)</formula>
    </cfRule>
  </conditionalFormatting>
  <conditionalFormatting sqref="G18">
    <cfRule type="expression" dxfId="404" priority="153">
      <formula>IF(ISERROR(G18)=TRUE,TRUE,FALSE)</formula>
    </cfRule>
  </conditionalFormatting>
  <conditionalFormatting sqref="H18">
    <cfRule type="expression" dxfId="403" priority="152">
      <formula>IF(ISERROR(H18)=TRUE,TRUE,FALSE)</formula>
    </cfRule>
  </conditionalFormatting>
  <conditionalFormatting sqref="X38">
    <cfRule type="expression" dxfId="402" priority="103">
      <formula>IF(ISERROR(X38)=TRUE,TRUE,FALSE)</formula>
    </cfRule>
  </conditionalFormatting>
  <conditionalFormatting sqref="Y38">
    <cfRule type="expression" dxfId="401" priority="101">
      <formula>IF(ISERROR(Y38)=TRUE,TRUE,FALSE)</formula>
    </cfRule>
  </conditionalFormatting>
  <conditionalFormatting sqref="F19:H19">
    <cfRule type="expression" dxfId="400" priority="282">
      <formula>IF(ISERROR(F18)=TRUE,TRUE,FALSE)</formula>
    </cfRule>
  </conditionalFormatting>
  <conditionalFormatting sqref="F19:H19">
    <cfRule type="expression" dxfId="399" priority="469">
      <formula>IF(F18&lt;=Gut,TRUE,FALSE)</formula>
    </cfRule>
    <cfRule type="expression" dxfId="398" priority="470">
      <formula>IF(F18&lt;=Potential,TRUE,FALSE)</formula>
    </cfRule>
    <cfRule type="expression" dxfId="397" priority="471">
      <formula>IF(F18&gt;Potential,TRUE,FALSE)</formula>
    </cfRule>
  </conditionalFormatting>
  <conditionalFormatting sqref="O37:Q37">
    <cfRule type="expression" dxfId="396" priority="85">
      <formula>IF(ISERROR(O36)=TRUE,TRUE,FALSE)</formula>
    </cfRule>
  </conditionalFormatting>
  <conditionalFormatting sqref="O37:Q37">
    <cfRule type="expression" dxfId="395" priority="86">
      <formula>IF(O36&lt;=Gut,TRUE,FALSE)</formula>
    </cfRule>
    <cfRule type="expression" dxfId="394" priority="87">
      <formula>IF(O36&lt;=Potential,TRUE,FALSE)</formula>
    </cfRule>
    <cfRule type="expression" dxfId="393" priority="88">
      <formula>IF(O36&gt;Potential,TRUE,FALSE)</formula>
    </cfRule>
  </conditionalFormatting>
  <conditionalFormatting sqref="X39:Y39">
    <cfRule type="expression" dxfId="392" priority="81">
      <formula>IF(ISERROR(X38)=TRUE,TRUE,FALSE)</formula>
    </cfRule>
  </conditionalFormatting>
  <conditionalFormatting sqref="X39:Y39">
    <cfRule type="expression" dxfId="391" priority="82">
      <formula>IF(X38&lt;=Gut,TRUE,FALSE)</formula>
    </cfRule>
    <cfRule type="expression" dxfId="390" priority="83">
      <formula>IF(X38&lt;=Potential,TRUE,FALSE)</formula>
    </cfRule>
    <cfRule type="expression" dxfId="389" priority="84">
      <formula>IF(X38&gt;Potential,TRUE,FALSE)</formula>
    </cfRule>
  </conditionalFormatting>
  <conditionalFormatting sqref="V40">
    <cfRule type="expression" dxfId="388" priority="77">
      <formula>IF($BG$83/$BG$84&lt;0.5,TRUE,FALSE)</formula>
    </cfRule>
    <cfRule type="expression" dxfId="387" priority="78">
      <formula>IF($BD$82&gt;0,TRUE,FALSE)</formula>
    </cfRule>
  </conditionalFormatting>
  <conditionalFormatting sqref="V40">
    <cfRule type="expression" dxfId="386" priority="79">
      <formula>IF($BD$82&gt;Grün,TRUE,FALSE)</formula>
    </cfRule>
    <cfRule type="expression" dxfId="385" priority="80">
      <formula>IF($BD$82&gt;Rot,TRUE,FALSE)</formula>
    </cfRule>
  </conditionalFormatting>
  <conditionalFormatting sqref="G21">
    <cfRule type="expression" dxfId="384" priority="70">
      <formula>ISERROR(G21)</formula>
    </cfRule>
    <cfRule type="cellIs" dxfId="383" priority="75" operator="greaterThan">
      <formula>0</formula>
    </cfRule>
  </conditionalFormatting>
  <conditionalFormatting sqref="E25">
    <cfRule type="expression" dxfId="382" priority="69">
      <formula>ISERROR(E25)</formula>
    </cfRule>
    <cfRule type="cellIs" dxfId="381" priority="74" operator="greaterThan">
      <formula>0</formula>
    </cfRule>
  </conditionalFormatting>
  <conditionalFormatting sqref="E28">
    <cfRule type="expression" dxfId="380" priority="67">
      <formula>ISERROR(E28)</formula>
    </cfRule>
    <cfRule type="cellIs" dxfId="379" priority="68" operator="greaterThan">
      <formula>0</formula>
    </cfRule>
  </conditionalFormatting>
  <conditionalFormatting sqref="G25">
    <cfRule type="expression" dxfId="378" priority="65">
      <formula>ISERROR(G25)</formula>
    </cfRule>
    <cfRule type="cellIs" dxfId="377" priority="66" operator="greaterThan">
      <formula>0</formula>
    </cfRule>
  </conditionalFormatting>
  <conditionalFormatting sqref="G28">
    <cfRule type="expression" dxfId="376" priority="63">
      <formula>ISERROR(G28)</formula>
    </cfRule>
    <cfRule type="cellIs" dxfId="375" priority="64" operator="greaterThan">
      <formula>0</formula>
    </cfRule>
  </conditionalFormatting>
  <conditionalFormatting sqref="P39">
    <cfRule type="expression" dxfId="374" priority="61">
      <formula>ISERROR(P39)</formula>
    </cfRule>
    <cfRule type="cellIs" dxfId="373" priority="62" operator="greaterThan">
      <formula>0</formula>
    </cfRule>
  </conditionalFormatting>
  <conditionalFormatting sqref="N43">
    <cfRule type="expression" dxfId="372" priority="59">
      <formula>ISERROR(N43)</formula>
    </cfRule>
    <cfRule type="cellIs" dxfId="371" priority="60" operator="greaterThan">
      <formula>0</formula>
    </cfRule>
  </conditionalFormatting>
  <conditionalFormatting sqref="N46">
    <cfRule type="expression" dxfId="370" priority="57">
      <formula>ISERROR(N46)</formula>
    </cfRule>
    <cfRule type="cellIs" dxfId="369" priority="58" operator="greaterThan">
      <formula>0</formula>
    </cfRule>
  </conditionalFormatting>
  <conditionalFormatting sqref="P43">
    <cfRule type="expression" dxfId="368" priority="55">
      <formula>ISERROR(P43)</formula>
    </cfRule>
    <cfRule type="cellIs" dxfId="367" priority="56" operator="greaterThan">
      <formula>0</formula>
    </cfRule>
  </conditionalFormatting>
  <conditionalFormatting sqref="P46">
    <cfRule type="expression" dxfId="366" priority="53">
      <formula>ISERROR(P46)</formula>
    </cfRule>
    <cfRule type="cellIs" dxfId="365" priority="54" operator="greaterThan">
      <formula>0</formula>
    </cfRule>
  </conditionalFormatting>
  <conditionalFormatting sqref="AJ15">
    <cfRule type="expression" dxfId="364" priority="654">
      <formula>IF(BB68&gt;Grün,TRUE,FALSE)</formula>
    </cfRule>
    <cfRule type="expression" dxfId="363" priority="655">
      <formula>IF(BB68&gt;Rot,TRUE,FALSE)</formula>
    </cfRule>
    <cfRule type="expression" dxfId="362" priority="656">
      <formula>IF(BB68&gt;0,TRUE,FALSE)</formula>
    </cfRule>
  </conditionalFormatting>
  <conditionalFormatting sqref="W43">
    <cfRule type="expression" dxfId="361" priority="51">
      <formula>ISERROR(W43)</formula>
    </cfRule>
    <cfRule type="cellIs" dxfId="360" priority="52" operator="greaterThan">
      <formula>0</formula>
    </cfRule>
  </conditionalFormatting>
  <conditionalFormatting sqref="W44">
    <cfRule type="expression" dxfId="359" priority="49">
      <formula>ISERROR(W44)</formula>
    </cfRule>
    <cfRule type="cellIs" dxfId="358" priority="50" operator="greaterThan">
      <formula>0</formula>
    </cfRule>
  </conditionalFormatting>
  <conditionalFormatting sqref="Y43">
    <cfRule type="expression" dxfId="357" priority="47">
      <formula>ISERROR(Y43)</formula>
    </cfRule>
    <cfRule type="cellIs" dxfId="356" priority="48" operator="greaterThan">
      <formula>0</formula>
    </cfRule>
  </conditionalFormatting>
  <conditionalFormatting sqref="Y44">
    <cfRule type="expression" dxfId="355" priority="45">
      <formula>ISERROR(Y44)</formula>
    </cfRule>
    <cfRule type="cellIs" dxfId="354" priority="46" operator="greaterThan">
      <formula>0</formula>
    </cfRule>
  </conditionalFormatting>
  <conditionalFormatting sqref="AF19">
    <cfRule type="expression" dxfId="353" priority="3">
      <formula>IF($O$35+P35&gt;0,TRUE,FALSE)</formula>
    </cfRule>
    <cfRule type="expression" dxfId="352" priority="4">
      <formula>IF($F$17+G17&gt;0,TRUE,FALSE)</formula>
    </cfRule>
    <cfRule type="cellIs" dxfId="351" priority="37" operator="greaterThan">
      <formula>0</formula>
    </cfRule>
    <cfRule type="expression" dxfId="350" priority="43">
      <formula>ISERROR(AF19)</formula>
    </cfRule>
  </conditionalFormatting>
  <conditionalFormatting sqref="AF20">
    <cfRule type="expression" dxfId="349" priority="2">
      <formula>IF($X$31+X32&gt;0,TRUE,FALSE)</formula>
    </cfRule>
    <cfRule type="cellIs" dxfId="348" priority="36" operator="greaterThan">
      <formula>0</formula>
    </cfRule>
    <cfRule type="expression" dxfId="347" priority="42">
      <formula>ISERROR(AF20)</formula>
    </cfRule>
  </conditionalFormatting>
  <conditionalFormatting sqref="AF22">
    <cfRule type="expression" dxfId="346" priority="40">
      <formula>ISERROR(AF22)</formula>
    </cfRule>
  </conditionalFormatting>
  <conditionalFormatting sqref="AF21">
    <cfRule type="expression" dxfId="345" priority="1">
      <formula>IF($X$33&gt;0,TRUE,FALSE)</formula>
    </cfRule>
    <cfRule type="cellIs" dxfId="344" priority="35" operator="greaterThan">
      <formula>0</formula>
    </cfRule>
    <cfRule type="expression" dxfId="343" priority="39">
      <formula>ISERROR(AF21)</formula>
    </cfRule>
  </conditionalFormatting>
  <conditionalFormatting sqref="Z38">
    <cfRule type="expression" dxfId="342" priority="33">
      <formula>IF(ISERROR(Z38)=TRUE,TRUE,FALSE)</formula>
    </cfRule>
  </conditionalFormatting>
  <conditionalFormatting sqref="Z39">
    <cfRule type="expression" dxfId="341" priority="25">
      <formula>IF(ISERROR(Z38)=TRUE,TRUE,FALSE)</formula>
    </cfRule>
  </conditionalFormatting>
  <conditionalFormatting sqref="Z39">
    <cfRule type="expression" dxfId="340" priority="26">
      <formula>IF(Z38&lt;=Gut,TRUE,FALSE)</formula>
    </cfRule>
    <cfRule type="expression" dxfId="339" priority="27">
      <formula>IF(Z38&lt;=Potential,TRUE,FALSE)</formula>
    </cfRule>
    <cfRule type="expression" dxfId="338" priority="28">
      <formula>IF(Z38&gt;Potential,TRUE,FALSE)</formula>
    </cfRule>
  </conditionalFormatting>
  <conditionalFormatting sqref="G26">
    <cfRule type="expression" dxfId="337" priority="23">
      <formula>ISERROR(G26)</formula>
    </cfRule>
    <cfRule type="cellIs" dxfId="336" priority="24" operator="greaterThan">
      <formula>0</formula>
    </cfRule>
  </conditionalFormatting>
  <conditionalFormatting sqref="AF17">
    <cfRule type="expression" dxfId="335" priority="7">
      <formula>IF($Q$35&gt;0,TRUE,FALSE)</formula>
    </cfRule>
    <cfRule type="expression" dxfId="334" priority="8">
      <formula>IF($H$17&gt;0,TRUE,FALSE)</formula>
    </cfRule>
    <cfRule type="cellIs" dxfId="333" priority="17" operator="greaterThan">
      <formula>0</formula>
    </cfRule>
    <cfRule type="expression" dxfId="332" priority="18">
      <formula>ISERROR(AF17)</formula>
    </cfRule>
  </conditionalFormatting>
  <conditionalFormatting sqref="AF23">
    <cfRule type="expression" dxfId="331" priority="16">
      <formula>ISERROR(AF23)</formula>
    </cfRule>
  </conditionalFormatting>
  <conditionalFormatting sqref="P44">
    <cfRule type="expression" dxfId="330" priority="13">
      <formula>ISERROR(P44)</formula>
    </cfRule>
    <cfRule type="cellIs" dxfId="329" priority="14" operator="greaterThan">
      <formula>0</formula>
    </cfRule>
  </conditionalFormatting>
  <conditionalFormatting sqref="AF18">
    <cfRule type="expression" dxfId="328" priority="5">
      <formula>IF($O$35+P35&gt;0,TRUE,FALSE)</formula>
    </cfRule>
    <cfRule type="expression" dxfId="327" priority="6">
      <formula>IF($G$17+$F$17&gt;0,TRUE,FALSE)</formula>
    </cfRule>
    <cfRule type="cellIs" dxfId="326" priority="9" operator="greaterThan">
      <formula>0</formula>
    </cfRule>
    <cfRule type="expression" dxfId="325" priority="10">
      <formula>ISERROR(AF18)</formula>
    </cfRule>
  </conditionalFormatting>
  <dataValidations count="1">
    <dataValidation type="list" allowBlank="1" showInputMessage="1" showErrorMessage="1" sqref="AO26:AO32 AO35:AO43 AO46:AO50 AO53:AO60 AO63:AO66 AO69:AO76">
      <formula1>Liste</formula1>
    </dataValidation>
  </dataValidations>
  <hyperlinks>
    <hyperlink ref="AM10" r:id="rId1"/>
    <hyperlink ref="AM11" r:id="rId2"/>
  </hyperlinks>
  <pageMargins left="0.70866141732283472" right="0.70866141732283472" top="0.78740157480314965" bottom="0.78740157480314965" header="0.31496062992125984" footer="0.31496062992125984"/>
  <pageSetup paperSize="9" scale="26" orientation="landscape" r:id="rId3"/>
  <headerFooter>
    <oddFooter>&amp;L&amp;D&amp;Cuwe Luzern</oddFooter>
  </headerFooter>
  <rowBreaks count="2" manualBreakCount="2">
    <brk id="12" min="19" max="25" man="1"/>
    <brk id="12" min="35" max="41" man="1"/>
  </rowBreaks>
  <drawing r:id="rId4"/>
  <legacyDrawing r:id="rId5"/>
  <oleObjects>
    <mc:AlternateContent xmlns:mc="http://schemas.openxmlformats.org/markup-compatibility/2006">
      <mc:Choice Requires="x14">
        <oleObject progId="Acrobat Document" dvAspect="DVASPECT_ICON" shapeId="2050" r:id="rId6">
          <objectPr locked="0" defaultSize="0" r:id="rId7">
            <anchor moveWithCells="1">
              <from>
                <xdr:col>40</xdr:col>
                <xdr:colOff>0</xdr:colOff>
                <xdr:row>1</xdr:row>
                <xdr:rowOff>0</xdr:rowOff>
              </from>
              <to>
                <xdr:col>40</xdr:col>
                <xdr:colOff>914400</xdr:colOff>
                <xdr:row>3</xdr:row>
                <xdr:rowOff>161925</xdr:rowOff>
              </to>
            </anchor>
          </objectPr>
        </oleObject>
      </mc:Choice>
      <mc:Fallback>
        <oleObject progId="Acrobat Document" dvAspect="DVASPECT_ICON" shapeId="2050"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pageSetUpPr fitToPage="1"/>
  </sheetPr>
  <dimension ref="A1:BI151"/>
  <sheetViews>
    <sheetView showGridLines="0" showRowColHeaders="0" zoomScaleNormal="100" workbookViewId="0"/>
  </sheetViews>
  <sheetFormatPr baseColWidth="10" defaultColWidth="0" defaultRowHeight="15" zeroHeight="1" x14ac:dyDescent="0.25"/>
  <cols>
    <col min="1" max="1" width="11.42578125" style="10" customWidth="1"/>
    <col min="2" max="2" width="3.7109375" style="10" customWidth="1"/>
    <col min="3" max="3" width="36.85546875" style="10" customWidth="1"/>
    <col min="4" max="4" width="17.7109375" style="10" customWidth="1"/>
    <col min="5" max="8" width="22.140625" style="10" customWidth="1"/>
    <col min="9" max="9" width="3.7109375" style="10" customWidth="1"/>
    <col min="10" max="10" width="3.7109375" style="310" customWidth="1"/>
    <col min="11" max="11" width="3.7109375" style="10" customWidth="1"/>
    <col min="12" max="12" width="30.7109375" style="10" customWidth="1"/>
    <col min="13" max="17" width="20.7109375" style="10" customWidth="1"/>
    <col min="18" max="18" width="3.7109375" style="10" customWidth="1"/>
    <col min="19" max="20" width="3.7109375" customWidth="1"/>
    <col min="21" max="21" width="33.7109375" customWidth="1"/>
    <col min="22" max="23" width="20.7109375" customWidth="1"/>
    <col min="24" max="24" width="3.7109375" customWidth="1"/>
    <col min="25" max="26" width="3.7109375" style="243" customWidth="1"/>
    <col min="27" max="27" width="30.7109375" style="243" customWidth="1"/>
    <col min="28" max="29" width="20.7109375" style="243" customWidth="1"/>
    <col min="30" max="32" width="3.7109375" style="243" customWidth="1"/>
    <col min="33" max="33" width="35.7109375" style="243" customWidth="1"/>
    <col min="34" max="34" width="10.7109375" style="243" customWidth="1"/>
    <col min="35" max="38" width="20.7109375" style="243" customWidth="1"/>
    <col min="39" max="39" width="3.7109375" style="243" customWidth="1"/>
    <col min="40" max="40" width="13.85546875" style="10" customWidth="1"/>
    <col min="41" max="41" width="35.7109375" style="10" customWidth="1"/>
    <col min="42" max="42" width="17.140625" style="10" customWidth="1"/>
    <col min="43" max="43" width="11.42578125" style="10" customWidth="1"/>
    <col min="44" max="44" width="16.7109375" style="10" customWidth="1"/>
    <col min="45" max="45" width="15.7109375" style="10" customWidth="1"/>
    <col min="46" max="46" width="23" style="10" customWidth="1"/>
    <col min="47" max="47" width="15.42578125" style="10" customWidth="1"/>
    <col min="48" max="48" width="14" style="10" customWidth="1"/>
    <col min="49" max="49" width="15" style="10" customWidth="1"/>
    <col min="50" max="50" width="17.5703125" style="10" customWidth="1"/>
    <col min="51" max="51" width="19.5703125" style="10" customWidth="1"/>
    <col min="52" max="52" width="18.140625" style="10" customWidth="1"/>
    <col min="53" max="53" width="18.85546875" style="10" customWidth="1"/>
    <col min="54" max="54" width="15.7109375" style="10" customWidth="1"/>
    <col min="55" max="55" width="19.5703125" style="10" customWidth="1"/>
    <col min="56" max="56" width="11.42578125" style="10" customWidth="1"/>
    <col min="57" max="16384" width="11.42578125" style="10" hidden="1"/>
  </cols>
  <sheetData>
    <row r="1" spans="2:61" s="374" customFormat="1" x14ac:dyDescent="0.25">
      <c r="J1" s="400"/>
      <c r="K1" s="400"/>
      <c r="L1" s="400"/>
      <c r="M1" s="400"/>
      <c r="N1" s="400"/>
      <c r="O1" s="400"/>
      <c r="P1" s="400"/>
      <c r="Q1" s="400"/>
      <c r="R1" s="400"/>
      <c r="S1" s="400"/>
      <c r="T1" s="400"/>
      <c r="U1" s="400"/>
      <c r="V1" s="400"/>
      <c r="W1" s="400"/>
      <c r="X1" s="400"/>
      <c r="Y1" s="400"/>
      <c r="Z1" s="400"/>
      <c r="AA1" s="400"/>
      <c r="AB1" s="400"/>
      <c r="AC1" s="400"/>
      <c r="AD1" s="400"/>
      <c r="AE1" s="400"/>
      <c r="AF1" s="400"/>
      <c r="AG1" s="400"/>
      <c r="AH1" s="400"/>
      <c r="AI1" s="400"/>
      <c r="AJ1" s="400"/>
      <c r="AK1" s="400"/>
      <c r="AL1" s="400"/>
      <c r="AM1" s="400"/>
      <c r="AN1" s="400"/>
      <c r="AO1" s="400"/>
      <c r="AP1" s="112"/>
      <c r="AQ1" s="111"/>
      <c r="AR1" s="373"/>
      <c r="BH1" s="462"/>
      <c r="BI1" s="399"/>
    </row>
    <row r="2" spans="2:61" s="374" customFormat="1" ht="26.25" x14ac:dyDescent="0.4">
      <c r="C2" s="458" t="s">
        <v>762</v>
      </c>
      <c r="G2" s="374" t="s">
        <v>539</v>
      </c>
      <c r="H2" s="374" t="s">
        <v>541</v>
      </c>
      <c r="J2" s="485" t="s">
        <v>538</v>
      </c>
      <c r="K2" s="400"/>
      <c r="L2" s="400" t="s">
        <v>566</v>
      </c>
      <c r="M2" s="400"/>
      <c r="N2" s="400" t="s">
        <v>577</v>
      </c>
      <c r="O2" s="400"/>
      <c r="P2" s="399"/>
      <c r="Q2" s="399"/>
      <c r="R2" s="400"/>
      <c r="S2" s="400"/>
      <c r="T2" s="400"/>
      <c r="U2" s="400"/>
      <c r="V2" s="400"/>
      <c r="W2" s="400"/>
      <c r="X2" s="400"/>
      <c r="Y2" s="400"/>
      <c r="Z2" s="400"/>
      <c r="AA2" s="400"/>
      <c r="AB2" s="400"/>
      <c r="AC2" s="400"/>
      <c r="AD2" s="400"/>
      <c r="AE2" s="400"/>
      <c r="AF2" s="400"/>
      <c r="AG2" s="400"/>
      <c r="AH2" s="400"/>
      <c r="AI2" s="400"/>
      <c r="AJ2" s="400"/>
      <c r="AK2" s="1697" t="s">
        <v>903</v>
      </c>
      <c r="AL2" s="400"/>
      <c r="AM2" s="400"/>
      <c r="AN2" s="400"/>
      <c r="AO2" s="400"/>
      <c r="AP2" s="112"/>
      <c r="AQ2" s="111"/>
      <c r="AR2" s="373"/>
      <c r="BH2" s="462"/>
      <c r="BI2" s="399"/>
    </row>
    <row r="3" spans="2:61" s="374" customFormat="1" x14ac:dyDescent="0.25">
      <c r="J3" s="400"/>
      <c r="K3" s="400"/>
      <c r="L3" s="400"/>
      <c r="M3" s="400"/>
      <c r="N3" s="400"/>
      <c r="O3" s="400"/>
      <c r="P3" s="399"/>
      <c r="Q3" s="399"/>
      <c r="R3" s="400"/>
      <c r="S3" s="400"/>
      <c r="T3" s="400"/>
      <c r="U3" s="400"/>
      <c r="V3" s="400"/>
      <c r="W3" s="400"/>
      <c r="X3" s="400"/>
      <c r="Y3" s="400"/>
      <c r="Z3" s="400"/>
      <c r="AA3" s="400"/>
      <c r="AB3" s="400"/>
      <c r="AC3" s="400"/>
      <c r="AD3" s="400"/>
      <c r="AE3" s="400"/>
      <c r="AF3" s="400"/>
      <c r="AG3" s="400"/>
      <c r="AH3" s="400"/>
      <c r="AI3" s="400"/>
      <c r="AJ3" s="400"/>
      <c r="AK3" s="1697"/>
      <c r="AL3" s="400"/>
      <c r="AM3" s="400"/>
      <c r="AN3" s="400"/>
      <c r="AO3" s="400"/>
      <c r="AP3" s="112"/>
      <c r="AQ3" s="111"/>
      <c r="AR3" s="373"/>
      <c r="AZ3" s="670"/>
      <c r="BH3" s="462"/>
      <c r="BI3" s="399"/>
    </row>
    <row r="4" spans="2:61" s="374" customFormat="1" x14ac:dyDescent="0.25">
      <c r="J4" s="400"/>
      <c r="K4" s="400"/>
      <c r="L4" s="400"/>
      <c r="M4" s="400"/>
      <c r="N4" s="400"/>
      <c r="O4" s="400"/>
      <c r="P4" s="399"/>
      <c r="Q4" s="399"/>
      <c r="R4" s="400"/>
      <c r="S4" s="400"/>
      <c r="T4" s="400"/>
      <c r="U4" s="400"/>
      <c r="V4" s="400"/>
      <c r="W4" s="400"/>
      <c r="X4" s="400"/>
      <c r="Y4" s="400"/>
      <c r="Z4" s="400"/>
      <c r="AA4" s="400"/>
      <c r="AB4" s="400"/>
      <c r="AC4" s="400"/>
      <c r="AD4" s="400"/>
      <c r="AE4" s="400"/>
      <c r="AF4" s="400"/>
      <c r="AG4" s="400"/>
      <c r="AH4" s="400"/>
      <c r="AI4" s="400"/>
      <c r="AJ4" s="400"/>
      <c r="AK4" s="1697"/>
      <c r="AL4" s="400"/>
      <c r="AM4" s="400"/>
      <c r="AN4" s="400"/>
      <c r="AO4" s="400"/>
      <c r="AP4" s="112"/>
      <c r="AQ4" s="111"/>
      <c r="AR4" s="373"/>
      <c r="BH4" s="462"/>
      <c r="BI4" s="399"/>
    </row>
    <row r="5" spans="2:61" s="374" customFormat="1" ht="18" x14ac:dyDescent="0.25">
      <c r="E5" s="457" t="s">
        <v>540</v>
      </c>
      <c r="J5" s="400"/>
      <c r="K5" s="400"/>
      <c r="L5" s="377"/>
      <c r="M5" s="400"/>
      <c r="N5" s="457" t="s">
        <v>542</v>
      </c>
      <c r="O5" s="400"/>
      <c r="P5" s="399"/>
      <c r="Q5" s="399"/>
      <c r="R5" s="400"/>
      <c r="S5" s="400"/>
      <c r="T5" s="400"/>
      <c r="U5" s="400"/>
      <c r="V5" s="457" t="s">
        <v>543</v>
      </c>
      <c r="W5" s="400"/>
      <c r="X5" s="400"/>
      <c r="Y5" s="400"/>
      <c r="Z5" s="400"/>
      <c r="AA5" s="1623" t="s">
        <v>569</v>
      </c>
      <c r="AB5" s="1623"/>
      <c r="AC5" s="1623"/>
      <c r="AG5" s="712" t="s">
        <v>576</v>
      </c>
      <c r="AH5" s="633"/>
      <c r="AI5" s="633"/>
      <c r="AJ5" s="633"/>
      <c r="AK5" s="400"/>
      <c r="AL5" s="400"/>
      <c r="AM5" s="112"/>
      <c r="AN5" s="111"/>
      <c r="AR5" s="373"/>
      <c r="AU5" s="1623" t="s">
        <v>581</v>
      </c>
      <c r="AV5" s="1623"/>
      <c r="AW5" s="1623"/>
      <c r="AX5" s="1623"/>
      <c r="BH5" s="462"/>
      <c r="BI5" s="399"/>
    </row>
    <row r="6" spans="2:61" s="374" customFormat="1" ht="15" customHeight="1" x14ac:dyDescent="0.25">
      <c r="J6" s="400"/>
      <c r="K6" s="400"/>
      <c r="L6" s="400"/>
      <c r="M6" s="400"/>
      <c r="N6" s="400"/>
      <c r="O6" s="400"/>
      <c r="P6" s="399"/>
      <c r="Q6" s="399"/>
      <c r="R6" s="400"/>
      <c r="S6" s="400"/>
      <c r="T6" s="400"/>
      <c r="U6" s="400"/>
      <c r="V6" s="400"/>
      <c r="W6" s="400"/>
      <c r="X6" s="400"/>
      <c r="Y6" s="400"/>
      <c r="Z6" s="400"/>
      <c r="AA6" s="400"/>
      <c r="AB6" s="400"/>
      <c r="AC6" s="400"/>
      <c r="AG6" s="400"/>
      <c r="AH6" s="400"/>
      <c r="AI6" s="400"/>
      <c r="AJ6" s="400"/>
      <c r="AK6" s="400"/>
      <c r="AL6" s="400"/>
      <c r="AM6" s="112"/>
      <c r="AN6" s="111"/>
      <c r="AR6" s="373"/>
      <c r="BH6" s="462"/>
      <c r="BI6" s="399"/>
    </row>
    <row r="7" spans="2:61" s="374" customFormat="1" x14ac:dyDescent="0.25">
      <c r="C7" s="374" t="s">
        <v>513</v>
      </c>
      <c r="J7" s="400"/>
      <c r="K7" s="400"/>
      <c r="L7" s="400" t="s">
        <v>532</v>
      </c>
      <c r="M7" s="400"/>
      <c r="N7" s="400"/>
      <c r="O7" s="400"/>
      <c r="P7" s="400"/>
      <c r="Q7" s="400"/>
      <c r="R7" s="400"/>
      <c r="S7" s="400"/>
      <c r="T7" s="400"/>
      <c r="U7" s="400" t="s">
        <v>606</v>
      </c>
      <c r="V7" s="400"/>
      <c r="W7" s="400"/>
      <c r="X7" s="400"/>
      <c r="Y7" s="400"/>
      <c r="Z7" s="400"/>
      <c r="AA7" s="400" t="s">
        <v>575</v>
      </c>
      <c r="AB7" s="400"/>
      <c r="AC7" s="400"/>
      <c r="AG7" s="400" t="s">
        <v>585</v>
      </c>
      <c r="AH7" s="400"/>
      <c r="AI7" s="400"/>
      <c r="AJ7" s="400"/>
      <c r="AK7" s="400"/>
      <c r="AL7" s="400"/>
      <c r="AM7" s="112"/>
      <c r="AN7" s="111"/>
      <c r="AR7" s="373"/>
      <c r="BA7" s="670"/>
      <c r="BH7" s="462"/>
      <c r="BI7" s="399"/>
    </row>
    <row r="8" spans="2:61" s="374" customFormat="1" x14ac:dyDescent="0.25">
      <c r="C8" s="374" t="s">
        <v>514</v>
      </c>
      <c r="J8" s="400"/>
      <c r="K8" s="400"/>
      <c r="L8" s="400" t="s">
        <v>533</v>
      </c>
      <c r="M8" s="400"/>
      <c r="N8" s="400"/>
      <c r="O8" s="400"/>
      <c r="P8" s="400"/>
      <c r="Q8" s="400"/>
      <c r="R8" s="400"/>
      <c r="S8" s="400"/>
      <c r="T8" s="400"/>
      <c r="U8" s="374" t="s">
        <v>607</v>
      </c>
      <c r="V8" s="400"/>
      <c r="W8" s="400"/>
      <c r="X8" s="400"/>
      <c r="Y8" s="400"/>
      <c r="Z8" s="400"/>
      <c r="AA8" s="400" t="s">
        <v>574</v>
      </c>
      <c r="AB8" s="400"/>
      <c r="AC8" s="400"/>
      <c r="AG8" s="400" t="s">
        <v>589</v>
      </c>
      <c r="AH8" s="400"/>
      <c r="AI8" s="400"/>
      <c r="AJ8" s="400"/>
      <c r="AK8" s="400"/>
      <c r="AL8" s="400"/>
      <c r="AM8" s="112"/>
      <c r="AN8" s="111"/>
      <c r="AR8" s="373"/>
      <c r="AZ8" s="670"/>
      <c r="BH8" s="462"/>
      <c r="BI8" s="399"/>
    </row>
    <row r="9" spans="2:61" s="374" customFormat="1" x14ac:dyDescent="0.25">
      <c r="C9" s="374" t="s">
        <v>515</v>
      </c>
      <c r="J9" s="400"/>
      <c r="K9" s="400"/>
      <c r="L9" s="400" t="s">
        <v>534</v>
      </c>
      <c r="M9" s="400"/>
      <c r="N9" s="400"/>
      <c r="O9" s="400"/>
      <c r="P9" s="400"/>
      <c r="Q9" s="400"/>
      <c r="R9" s="400"/>
      <c r="S9" s="400"/>
      <c r="T9" s="400"/>
      <c r="U9" s="400" t="s">
        <v>568</v>
      </c>
      <c r="V9" s="400"/>
      <c r="W9" s="400"/>
      <c r="X9" s="400"/>
      <c r="Y9" s="400"/>
      <c r="Z9" s="400"/>
      <c r="AA9" s="400"/>
      <c r="AB9" s="400"/>
      <c r="AC9" s="400"/>
      <c r="AD9" s="400"/>
      <c r="AE9" s="400"/>
      <c r="AF9" s="400"/>
      <c r="AG9" s="400" t="s">
        <v>590</v>
      </c>
      <c r="AH9" s="400"/>
      <c r="AI9" s="400"/>
      <c r="AJ9" s="400"/>
      <c r="AK9" s="400"/>
      <c r="AL9" s="400"/>
      <c r="AM9" s="112"/>
      <c r="AN9" s="111"/>
      <c r="AR9" s="373"/>
      <c r="BH9" s="462"/>
      <c r="BI9" s="399"/>
    </row>
    <row r="10" spans="2:61" s="374" customFormat="1" ht="15" customHeight="1" x14ac:dyDescent="0.25">
      <c r="C10" s="374" t="s">
        <v>516</v>
      </c>
      <c r="J10" s="400"/>
      <c r="K10" s="400"/>
      <c r="L10" s="400"/>
      <c r="M10" s="400"/>
      <c r="N10" s="400"/>
      <c r="O10" s="400"/>
      <c r="P10" s="400"/>
      <c r="Q10" s="400"/>
      <c r="R10" s="400"/>
      <c r="S10" s="400"/>
      <c r="T10" s="400"/>
      <c r="V10" s="400"/>
      <c r="W10" s="400"/>
      <c r="X10" s="400"/>
      <c r="Y10" s="400"/>
      <c r="Z10" s="400"/>
      <c r="AA10" s="400"/>
      <c r="AB10" s="400"/>
      <c r="AC10" s="400"/>
      <c r="AD10" s="400"/>
      <c r="AE10" s="400"/>
      <c r="AF10" s="400"/>
      <c r="AG10" s="24" t="s">
        <v>293</v>
      </c>
      <c r="AH10" s="24"/>
      <c r="AI10" s="24"/>
      <c r="AJ10" s="1754" t="s">
        <v>610</v>
      </c>
      <c r="AK10" s="1754"/>
      <c r="AL10" s="1754"/>
      <c r="AM10" s="1754"/>
      <c r="AN10" s="111"/>
      <c r="AR10" s="373"/>
      <c r="BH10" s="462"/>
      <c r="BI10" s="399"/>
    </row>
    <row r="11" spans="2:61" s="374" customFormat="1" x14ac:dyDescent="0.25">
      <c r="C11" s="374" t="s">
        <v>517</v>
      </c>
      <c r="J11" s="400"/>
      <c r="K11" s="400"/>
      <c r="L11" s="400"/>
      <c r="M11" s="400"/>
      <c r="N11" s="400"/>
      <c r="O11" s="400"/>
      <c r="P11" s="400"/>
      <c r="Q11" s="400"/>
      <c r="R11" s="400"/>
      <c r="S11" s="400"/>
      <c r="T11" s="400"/>
      <c r="U11" s="400"/>
      <c r="V11" s="400"/>
      <c r="W11" s="400"/>
      <c r="X11" s="400"/>
      <c r="Y11" s="400"/>
      <c r="Z11" s="400"/>
      <c r="AA11" s="400"/>
      <c r="AB11" s="400"/>
      <c r="AC11" s="400"/>
      <c r="AD11" s="400"/>
      <c r="AE11" s="400"/>
      <c r="AF11" s="400"/>
      <c r="AG11" s="634" t="s">
        <v>309</v>
      </c>
      <c r="AH11" s="634"/>
      <c r="AI11" s="24"/>
      <c r="AJ11" s="1755" t="s">
        <v>296</v>
      </c>
      <c r="AK11" s="1755"/>
      <c r="AL11" s="1755"/>
      <c r="AM11" s="1755"/>
      <c r="AN11" s="111"/>
      <c r="AR11" s="373"/>
      <c r="BH11" s="462"/>
      <c r="BI11" s="399"/>
    </row>
    <row r="12" spans="2:61" ht="15.75" thickBot="1" x14ac:dyDescent="0.3"/>
    <row r="13" spans="2:61" ht="15.75" thickBot="1" x14ac:dyDescent="0.3">
      <c r="B13" s="48"/>
      <c r="C13" s="82"/>
      <c r="D13" s="33"/>
      <c r="E13" s="33"/>
      <c r="F13" s="33"/>
      <c r="G13" s="33"/>
      <c r="H13" s="33"/>
      <c r="I13" s="674"/>
      <c r="K13" s="409"/>
      <c r="L13" s="296"/>
      <c r="M13" s="296"/>
      <c r="N13" s="296"/>
      <c r="O13" s="296"/>
      <c r="P13" s="296"/>
      <c r="Q13" s="296"/>
      <c r="R13" s="411"/>
      <c r="T13" s="48"/>
      <c r="U13" s="33"/>
      <c r="V13" s="33"/>
      <c r="W13" s="33"/>
      <c r="X13" s="689"/>
      <c r="Y13" s="682"/>
      <c r="Z13" s="409"/>
      <c r="AA13" s="296"/>
      <c r="AB13" s="296"/>
      <c r="AC13" s="296"/>
      <c r="AD13" s="411"/>
      <c r="AE13" s="399"/>
      <c r="AF13" s="48"/>
      <c r="AG13" s="33"/>
      <c r="AH13" s="33"/>
      <c r="AI13" s="33"/>
      <c r="AJ13" s="33"/>
      <c r="AK13" s="33"/>
      <c r="AL13" s="33"/>
      <c r="AM13" s="674"/>
      <c r="AO13" s="41" t="s">
        <v>194</v>
      </c>
    </row>
    <row r="14" spans="2:61" ht="20.25" thickBot="1" x14ac:dyDescent="0.35">
      <c r="B14" s="25"/>
      <c r="C14" s="1736" t="s">
        <v>123</v>
      </c>
      <c r="D14" s="1737"/>
      <c r="E14" s="1738" t="s">
        <v>319</v>
      </c>
      <c r="F14" s="1739"/>
      <c r="G14" s="1739"/>
      <c r="H14" s="1740"/>
      <c r="I14" s="675"/>
      <c r="K14" s="412"/>
      <c r="L14" s="467" t="s">
        <v>535</v>
      </c>
      <c r="M14" s="468"/>
      <c r="N14" s="487"/>
      <c r="O14" s="569" t="s">
        <v>319</v>
      </c>
      <c r="P14" s="570"/>
      <c r="Q14" s="571"/>
      <c r="R14" s="413"/>
      <c r="T14" s="25"/>
      <c r="U14" s="1743" t="s">
        <v>262</v>
      </c>
      <c r="V14" s="1744"/>
      <c r="W14" s="1745"/>
      <c r="X14" s="690"/>
      <c r="Y14" s="682"/>
      <c r="Z14" s="412"/>
      <c r="AA14" s="1630" t="s">
        <v>586</v>
      </c>
      <c r="AB14" s="1631"/>
      <c r="AC14" s="1632"/>
      <c r="AD14" s="413"/>
      <c r="AE14" s="399"/>
      <c r="AF14" s="25"/>
      <c r="AG14" s="694"/>
      <c r="AH14" s="26"/>
      <c r="AI14" s="26"/>
      <c r="AJ14" s="26"/>
      <c r="AK14" s="26"/>
      <c r="AL14" s="26"/>
      <c r="AM14" s="675"/>
      <c r="AO14" s="1758" t="s">
        <v>505</v>
      </c>
      <c r="AP14" s="1759"/>
      <c r="AQ14" s="1759"/>
      <c r="AR14" s="1759"/>
      <c r="AS14" s="1759"/>
      <c r="AT14" s="14" t="s">
        <v>138</v>
      </c>
      <c r="AU14" s="11" t="s">
        <v>139</v>
      </c>
      <c r="AV14" s="11" t="s">
        <v>140</v>
      </c>
      <c r="AW14" s="11"/>
      <c r="AX14" s="12"/>
    </row>
    <row r="15" spans="2:61" ht="45.75" thickBot="1" x14ac:dyDescent="0.3">
      <c r="B15" s="25"/>
      <c r="C15" s="641" t="s">
        <v>594</v>
      </c>
      <c r="D15" s="640" t="s">
        <v>548</v>
      </c>
      <c r="E15" s="636" t="s">
        <v>591</v>
      </c>
      <c r="F15" s="637" t="s">
        <v>523</v>
      </c>
      <c r="G15" s="638" t="s">
        <v>592</v>
      </c>
      <c r="H15" s="639" t="s">
        <v>593</v>
      </c>
      <c r="I15" s="675"/>
      <c r="K15" s="412"/>
      <c r="L15" s="575" t="s">
        <v>536</v>
      </c>
      <c r="M15" s="654"/>
      <c r="N15" s="573" t="s">
        <v>628</v>
      </c>
      <c r="O15" s="652" t="s">
        <v>522</v>
      </c>
      <c r="P15" s="650" t="s">
        <v>523</v>
      </c>
      <c r="Q15" s="648" t="s">
        <v>602</v>
      </c>
      <c r="R15" s="413"/>
      <c r="T15" s="25"/>
      <c r="U15" s="488" t="s">
        <v>958</v>
      </c>
      <c r="V15" s="738" t="s">
        <v>629</v>
      </c>
      <c r="W15" s="773" t="s">
        <v>261</v>
      </c>
      <c r="X15" s="690"/>
      <c r="Y15" s="682"/>
      <c r="Z15" s="417"/>
      <c r="AA15" s="418"/>
      <c r="AB15" s="418"/>
      <c r="AC15" s="418"/>
      <c r="AD15" s="419"/>
      <c r="AE15" s="399"/>
      <c r="AF15" s="25"/>
      <c r="AG15" s="1721" t="s">
        <v>20</v>
      </c>
      <c r="AH15" s="26"/>
      <c r="AI15" s="26"/>
      <c r="AJ15" s="26"/>
      <c r="AK15" s="34"/>
      <c r="AL15" s="26"/>
      <c r="AM15" s="675"/>
      <c r="AO15" s="59" t="s">
        <v>144</v>
      </c>
      <c r="AP15" s="51" t="s">
        <v>129</v>
      </c>
      <c r="AQ15" s="51" t="s">
        <v>130</v>
      </c>
      <c r="AR15" s="74" t="s">
        <v>131</v>
      </c>
      <c r="AS15" s="220" t="s">
        <v>320</v>
      </c>
      <c r="AT15" s="1724" t="s">
        <v>137</v>
      </c>
      <c r="AU15" s="1725"/>
      <c r="AV15" s="1725"/>
      <c r="AW15" s="1726"/>
      <c r="AX15" s="221" t="s">
        <v>142</v>
      </c>
    </row>
    <row r="16" spans="2:61" ht="27.95" customHeight="1" thickBot="1" x14ac:dyDescent="0.3">
      <c r="B16" s="25"/>
      <c r="C16" s="1562" t="s">
        <v>132</v>
      </c>
      <c r="D16" s="1561"/>
      <c r="E16" s="671">
        <f>D16*Käsereien!AS17/1000</f>
        <v>0</v>
      </c>
      <c r="F16" s="672">
        <f>D16*Käsereien!AS18/1000</f>
        <v>0</v>
      </c>
      <c r="G16" s="672">
        <f>D16*Käsereien!AS16/1000</f>
        <v>0</v>
      </c>
      <c r="H16" s="673">
        <f>IF(H22=TRUE,Käsereien!AQ19*D16/1000,Käsereien!AP19*D16/1000)</f>
        <v>0</v>
      </c>
      <c r="I16" s="675"/>
      <c r="K16" s="412"/>
      <c r="L16" s="576" t="s">
        <v>55</v>
      </c>
      <c r="M16" s="577"/>
      <c r="N16" s="574"/>
      <c r="O16" s="653"/>
      <c r="P16" s="651"/>
      <c r="Q16" s="649"/>
      <c r="R16" s="413"/>
      <c r="T16" s="25"/>
      <c r="U16" s="691" t="s">
        <v>55</v>
      </c>
      <c r="V16" s="739" t="s">
        <v>518</v>
      </c>
      <c r="W16" s="692" t="s">
        <v>547</v>
      </c>
      <c r="X16" s="690"/>
      <c r="Y16" s="682"/>
      <c r="Z16" s="536"/>
      <c r="AA16" s="537"/>
      <c r="AB16" s="537"/>
      <c r="AC16" s="537"/>
      <c r="AD16" s="411"/>
      <c r="AE16" s="399"/>
      <c r="AF16" s="25"/>
      <c r="AG16" s="1722"/>
      <c r="AH16" s="694"/>
      <c r="AI16" s="694"/>
      <c r="AJ16" s="26"/>
      <c r="AK16" s="26"/>
      <c r="AL16" s="26"/>
      <c r="AM16" s="675"/>
      <c r="AO16" s="36" t="s">
        <v>127</v>
      </c>
      <c r="AP16" s="15">
        <v>1</v>
      </c>
      <c r="AQ16" s="15">
        <v>2</v>
      </c>
      <c r="AR16" s="16">
        <v>1.22</v>
      </c>
      <c r="AS16" s="448">
        <f>IF((AX16*AX16*AT16+AX16*AU16+AV16)&lt;AP16,AP16,AX16*AX16*AT16+AX16*AU16+AV16)</f>
        <v>1.79</v>
      </c>
      <c r="AT16" s="76">
        <v>8.1629999999999996E-6</v>
      </c>
      <c r="AU16" s="46">
        <v>-5.9800000000000001E-3</v>
      </c>
      <c r="AV16" s="46">
        <v>1.79</v>
      </c>
      <c r="AW16" s="46"/>
      <c r="AX16" s="53">
        <f>Käsereien!D16/1000000</f>
        <v>0</v>
      </c>
    </row>
    <row r="17" spans="2:56" ht="27.95" customHeight="1" thickBot="1" x14ac:dyDescent="0.3">
      <c r="B17" s="25"/>
      <c r="C17" s="1732" t="s">
        <v>269</v>
      </c>
      <c r="D17" s="1733"/>
      <c r="E17" s="1563"/>
      <c r="F17" s="1564"/>
      <c r="G17" s="1564"/>
      <c r="H17" s="1565"/>
      <c r="I17" s="676"/>
      <c r="J17" s="659"/>
      <c r="K17" s="412"/>
      <c r="L17" s="1774" t="str">
        <f>AO22</f>
        <v>Konsummilch, Milchfrischprodukte</v>
      </c>
      <c r="M17" s="1775"/>
      <c r="N17" s="1553"/>
      <c r="O17" s="470">
        <f>$N17*AP22/1000</f>
        <v>0</v>
      </c>
      <c r="P17" s="470">
        <f>$N17*AQ22/1000</f>
        <v>0</v>
      </c>
      <c r="Q17" s="470">
        <f>$N17*AR22/1000</f>
        <v>0</v>
      </c>
      <c r="R17" s="413"/>
      <c r="T17" s="25"/>
      <c r="U17" s="687" t="str">
        <f>Käsereien!AO35</f>
        <v>Trinkmilch</v>
      </c>
      <c r="V17" s="1561"/>
      <c r="W17" s="90">
        <f>V17/1000*Käsereien!AP35</f>
        <v>0</v>
      </c>
      <c r="X17" s="690"/>
      <c r="Y17" s="682"/>
      <c r="Z17" s="412"/>
      <c r="AA17" s="1741" t="s">
        <v>570</v>
      </c>
      <c r="AB17" s="1742"/>
      <c r="AC17" s="701">
        <f>IF(IF(P33&gt;0,P33,G27)&lt;0,0,IF(P33&gt;0,P33,G27))</f>
        <v>0</v>
      </c>
      <c r="AD17" s="413"/>
      <c r="AE17" s="399"/>
      <c r="AF17" s="25"/>
      <c r="AG17" s="1723"/>
      <c r="AH17" s="694"/>
      <c r="AI17" s="694"/>
      <c r="AJ17" s="635"/>
      <c r="AK17" s="635"/>
      <c r="AL17" s="26"/>
      <c r="AM17" s="675"/>
      <c r="AO17" s="36" t="s">
        <v>126</v>
      </c>
      <c r="AP17" s="15">
        <v>0.6</v>
      </c>
      <c r="AQ17" s="15">
        <v>3</v>
      </c>
      <c r="AR17" s="16">
        <v>1.99</v>
      </c>
      <c r="AS17" s="448">
        <f>IF((AX17*AX17*AT17+AX17*AU17+AV17)&lt;AP17,AP17,AX17*AX17*AT17+AX17*AU17+AV17)</f>
        <v>1.754</v>
      </c>
      <c r="AT17" s="76">
        <v>1.0200000000000001E-5</v>
      </c>
      <c r="AU17" s="46">
        <v>-6.9499999999999996E-3</v>
      </c>
      <c r="AV17" s="46">
        <v>1.754</v>
      </c>
      <c r="AW17" s="46"/>
      <c r="AX17" s="53">
        <f>Käsereien!D16/1000000</f>
        <v>0</v>
      </c>
    </row>
    <row r="18" spans="2:56" ht="27.95" customHeight="1" thickBot="1" x14ac:dyDescent="0.3">
      <c r="B18" s="25"/>
      <c r="C18" s="1751" t="s">
        <v>125</v>
      </c>
      <c r="D18" s="1752"/>
      <c r="E18" s="645" t="e">
        <f>E17/E16</f>
        <v>#DIV/0!</v>
      </c>
      <c r="F18" s="646" t="e">
        <f>F17/F16</f>
        <v>#DIV/0!</v>
      </c>
      <c r="G18" s="646" t="e">
        <f>G17/G16</f>
        <v>#DIV/0!</v>
      </c>
      <c r="H18" s="647" t="e">
        <f>H17/H16</f>
        <v>#DIV/0!</v>
      </c>
      <c r="I18" s="675"/>
      <c r="K18" s="412"/>
      <c r="L18" s="1661" t="s">
        <v>626</v>
      </c>
      <c r="M18" s="1662"/>
      <c r="N18" s="1554"/>
      <c r="O18" s="470">
        <f t="shared" ref="O18:Q19" si="0">$N18/$AU$23*AP23/1000</f>
        <v>0</v>
      </c>
      <c r="P18" s="470">
        <f t="shared" si="0"/>
        <v>0</v>
      </c>
      <c r="Q18" s="470">
        <f t="shared" si="0"/>
        <v>0</v>
      </c>
      <c r="R18" s="413"/>
      <c r="T18" s="25"/>
      <c r="U18" s="685" t="str">
        <f>Käsereien!AO36</f>
        <v>UHT-Milch</v>
      </c>
      <c r="V18" s="1566"/>
      <c r="W18" s="91">
        <f>V18/1000*Käsereien!AP36</f>
        <v>0</v>
      </c>
      <c r="X18" s="690"/>
      <c r="Y18" s="682"/>
      <c r="Z18" s="412"/>
      <c r="AA18" s="1746" t="s">
        <v>747</v>
      </c>
      <c r="AB18" s="1747"/>
      <c r="AC18" s="702">
        <f>IF(IF(P34&gt;0,P34,G28)&lt;0,0,IF(P34&gt;0,P34,G28))</f>
        <v>0</v>
      </c>
      <c r="AD18" s="413"/>
      <c r="AE18" s="399"/>
      <c r="AF18" s="25"/>
      <c r="AG18" s="6"/>
      <c r="AH18" s="694"/>
      <c r="AI18" s="694"/>
      <c r="AJ18" s="26"/>
      <c r="AK18" s="26"/>
      <c r="AL18" s="26"/>
      <c r="AM18" s="675"/>
      <c r="AO18" s="83" t="s">
        <v>128</v>
      </c>
      <c r="AP18" s="84">
        <v>0.8</v>
      </c>
      <c r="AQ18" s="84">
        <v>4</v>
      </c>
      <c r="AR18" s="88">
        <v>3.28</v>
      </c>
      <c r="AS18" s="448">
        <f>IF((AX18*AX18*AT18+AX18*AU18+AV18)&lt;AP18,AP18,AX18*AX18*AT18+AX18*AU18+AV18)</f>
        <v>2.5207999999999999</v>
      </c>
      <c r="AT18" s="85"/>
      <c r="AU18" s="47">
        <v>-4.7429999999999998E-3</v>
      </c>
      <c r="AV18" s="47">
        <v>2.5207999999999999</v>
      </c>
      <c r="AW18" s="47"/>
      <c r="AX18" s="54">
        <f>Käsereien!D16/1000000</f>
        <v>0</v>
      </c>
    </row>
    <row r="19" spans="2:56" ht="27.95" customHeight="1" thickBot="1" x14ac:dyDescent="0.3">
      <c r="B19" s="25"/>
      <c r="C19" s="1734" t="s">
        <v>124</v>
      </c>
      <c r="D19" s="1735"/>
      <c r="E19" s="642" t="e">
        <f>IF(E18&gt;0,IF(E18&lt;=Gut,"gut",IF(E18&lt;=Potential,"Potential","Bedarf")),"")</f>
        <v>#DIV/0!</v>
      </c>
      <c r="F19" s="643" t="e">
        <f>IF(F18&gt;0,IF(F18&lt;=Gut,"gut",IF(F18&lt;=Potential,"Potential","Bedarf")),"")</f>
        <v>#DIV/0!</v>
      </c>
      <c r="G19" s="643" t="e">
        <f>IF(G18&gt;0,IF(G18&lt;=Gut,"gut",IF(G18&lt;=Potential,"Potential","Bedarf")),"")</f>
        <v>#DIV/0!</v>
      </c>
      <c r="H19" s="644" t="e">
        <f>IF(H18&gt;0,IF(H18&lt;=Gut,"gut",IF(H18&lt;=Potential,"Potential","Bedarf")),"")</f>
        <v>#DIV/0!</v>
      </c>
      <c r="I19" s="675"/>
      <c r="K19" s="412"/>
      <c r="L19" s="1661" t="s">
        <v>627</v>
      </c>
      <c r="M19" s="1662"/>
      <c r="N19" s="1554"/>
      <c r="O19" s="470">
        <f t="shared" si="0"/>
        <v>0</v>
      </c>
      <c r="P19" s="470">
        <f t="shared" si="0"/>
        <v>0</v>
      </c>
      <c r="Q19" s="470">
        <f t="shared" si="0"/>
        <v>0</v>
      </c>
      <c r="R19" s="413"/>
      <c r="T19" s="25"/>
      <c r="U19" s="686" t="str">
        <f>Käsereien!AO37</f>
        <v>Frischprodukte wie Joghurt, Frischkäse</v>
      </c>
      <c r="V19" s="1566"/>
      <c r="W19" s="91">
        <f>V19/1000*Käsereien!AP37</f>
        <v>0</v>
      </c>
      <c r="X19" s="690"/>
      <c r="Y19" s="682"/>
      <c r="Z19" s="412"/>
      <c r="AA19" s="1770" t="s">
        <v>1002</v>
      </c>
      <c r="AB19" s="1771"/>
      <c r="AC19" s="702">
        <f>IF(IF(P36&gt;0,P36,G30)&lt;0,0,IF(P36&gt;0,P36,G30))</f>
        <v>0</v>
      </c>
      <c r="AD19" s="413"/>
      <c r="AE19" s="399"/>
      <c r="AF19" s="25"/>
      <c r="AG19" s="6"/>
      <c r="AH19" s="694"/>
      <c r="AI19" s="694"/>
      <c r="AJ19" s="26"/>
      <c r="AK19" s="26"/>
      <c r="AL19" s="26"/>
      <c r="AM19" s="675"/>
      <c r="AO19" s="39" t="s">
        <v>173</v>
      </c>
      <c r="AP19" s="97">
        <f>AQ19*0.72</f>
        <v>1.512</v>
      </c>
      <c r="AQ19" s="17">
        <v>2.1</v>
      </c>
      <c r="AR19" s="18">
        <v>2.1</v>
      </c>
      <c r="AS19" s="65"/>
    </row>
    <row r="20" spans="2:56" ht="27.95" customHeight="1" thickBot="1" x14ac:dyDescent="0.3">
      <c r="B20" s="25"/>
      <c r="C20" s="93"/>
      <c r="D20" s="92"/>
      <c r="E20" s="79"/>
      <c r="F20" s="79"/>
      <c r="G20" s="79"/>
      <c r="H20" s="79"/>
      <c r="I20" s="675"/>
      <c r="K20" s="412"/>
      <c r="L20" s="1661" t="str">
        <f>AO25</f>
        <v>Frischprodukte wie Joghurt, Frischkäse, Quark</v>
      </c>
      <c r="M20" s="1662"/>
      <c r="N20" s="1554"/>
      <c r="O20" s="470">
        <f t="shared" ref="O20:Q22" si="1">$N20*AP25/1000</f>
        <v>0</v>
      </c>
      <c r="P20" s="470">
        <f t="shared" si="1"/>
        <v>0</v>
      </c>
      <c r="Q20" s="470">
        <f t="shared" si="1"/>
        <v>0</v>
      </c>
      <c r="R20" s="413"/>
      <c r="T20" s="25"/>
      <c r="U20" s="685" t="str">
        <f>Käsereien!AO38</f>
        <v>Butter</v>
      </c>
      <c r="V20" s="1566"/>
      <c r="W20" s="91">
        <f>V20/1000*Käsereien!AP38</f>
        <v>0</v>
      </c>
      <c r="X20" s="690"/>
      <c r="Y20" s="682"/>
      <c r="Z20" s="412"/>
      <c r="AA20" s="1772" t="s">
        <v>572</v>
      </c>
      <c r="AB20" s="1773"/>
      <c r="AC20" s="704">
        <f>IF(W33&lt;0,0,W33)</f>
        <v>0</v>
      </c>
      <c r="AD20" s="413"/>
      <c r="AE20" s="399"/>
      <c r="AF20" s="25"/>
      <c r="AG20" s="6"/>
      <c r="AH20" s="26"/>
      <c r="AI20" s="26"/>
      <c r="AJ20" s="26"/>
      <c r="AK20" s="26"/>
      <c r="AL20" s="26"/>
      <c r="AM20" s="675"/>
      <c r="AO20" s="65"/>
      <c r="AP20" s="65"/>
      <c r="AQ20" s="65"/>
      <c r="AR20" s="68"/>
      <c r="AS20" s="65"/>
    </row>
    <row r="21" spans="2:56" ht="27.95" customHeight="1" thickBot="1" x14ac:dyDescent="0.3">
      <c r="B21" s="25"/>
      <c r="C21" s="1750" t="s">
        <v>603</v>
      </c>
      <c r="D21" s="1750"/>
      <c r="E21" s="26"/>
      <c r="F21" s="1753" t="s">
        <v>180</v>
      </c>
      <c r="G21" s="1753"/>
      <c r="H21" s="677" t="s">
        <v>270</v>
      </c>
      <c r="I21" s="675"/>
      <c r="K21" s="412"/>
      <c r="L21" s="1661" t="str">
        <f t="shared" ref="L21:L22" si="2">AO26</f>
        <v>Weichkäse</v>
      </c>
      <c r="M21" s="1662"/>
      <c r="N21" s="1554"/>
      <c r="O21" s="470">
        <f t="shared" si="1"/>
        <v>0</v>
      </c>
      <c r="P21" s="470">
        <f t="shared" si="1"/>
        <v>0</v>
      </c>
      <c r="Q21" s="470">
        <f t="shared" si="1"/>
        <v>0</v>
      </c>
      <c r="R21" s="413"/>
      <c r="T21" s="25"/>
      <c r="U21" s="737" t="str">
        <f>Käsereien!AO39</f>
        <v>Hartkäse</v>
      </c>
      <c r="V21" s="1567"/>
      <c r="W21" s="355">
        <f>V21/1000*Käsereien!AP39</f>
        <v>0</v>
      </c>
      <c r="X21" s="690"/>
      <c r="Y21" s="682"/>
      <c r="Z21" s="412"/>
      <c r="AA21" s="1748" t="s">
        <v>573</v>
      </c>
      <c r="AB21" s="1749"/>
      <c r="AC21" s="1352">
        <f>AC17+AC19+AC20</f>
        <v>0</v>
      </c>
      <c r="AD21" s="413"/>
      <c r="AE21" s="399"/>
      <c r="AF21" s="25"/>
      <c r="AG21" s="711" t="s">
        <v>109</v>
      </c>
      <c r="AH21" s="26"/>
      <c r="AI21" s="26"/>
      <c r="AJ21" s="26"/>
      <c r="AK21" s="26"/>
      <c r="AL21" s="26"/>
      <c r="AM21" s="675"/>
      <c r="AO21" s="600" t="s">
        <v>509</v>
      </c>
      <c r="AP21" s="601" t="s">
        <v>47</v>
      </c>
      <c r="AQ21" s="602" t="s">
        <v>46</v>
      </c>
      <c r="AR21" s="603" t="s">
        <v>493</v>
      </c>
      <c r="AS21" s="65"/>
      <c r="AT21" s="62" t="s">
        <v>103</v>
      </c>
      <c r="AU21" s="63"/>
      <c r="AW21" s="87" t="s">
        <v>179</v>
      </c>
      <c r="AX21" s="13"/>
    </row>
    <row r="22" spans="2:56" ht="27.95" customHeight="1" thickBot="1" x14ac:dyDescent="0.3">
      <c r="B22" s="25"/>
      <c r="C22" s="1750"/>
      <c r="D22" s="1750"/>
      <c r="E22" s="26"/>
      <c r="F22" s="94" t="s">
        <v>185</v>
      </c>
      <c r="G22" s="95">
        <v>0.41</v>
      </c>
      <c r="H22" s="98" t="b">
        <v>1</v>
      </c>
      <c r="I22" s="675"/>
      <c r="K22" s="412"/>
      <c r="L22" s="1661" t="str">
        <f t="shared" si="2"/>
        <v>Hartkäse</v>
      </c>
      <c r="M22" s="1662"/>
      <c r="N22" s="1554"/>
      <c r="O22" s="470">
        <f t="shared" si="1"/>
        <v>0</v>
      </c>
      <c r="P22" s="470">
        <f t="shared" si="1"/>
        <v>0</v>
      </c>
      <c r="Q22" s="470">
        <f t="shared" si="1"/>
        <v>0</v>
      </c>
      <c r="R22" s="413"/>
      <c r="T22" s="25"/>
      <c r="U22" s="1764" t="s">
        <v>636</v>
      </c>
      <c r="V22" s="1766"/>
      <c r="W22" s="1768">
        <f>V22*AR44/1000</f>
        <v>0</v>
      </c>
      <c r="X22" s="690"/>
      <c r="Y22" s="682"/>
      <c r="Z22" s="412"/>
      <c r="AA22" s="1748" t="s">
        <v>748</v>
      </c>
      <c r="AB22" s="1749"/>
      <c r="AC22" s="1352">
        <f>AC18+AC19+AC20</f>
        <v>0</v>
      </c>
      <c r="AD22" s="413"/>
      <c r="AF22" s="25"/>
      <c r="AG22" s="94" t="s">
        <v>147</v>
      </c>
      <c r="AH22" s="26"/>
      <c r="AI22" s="26"/>
      <c r="AJ22" s="26"/>
      <c r="AK22" s="26"/>
      <c r="AL22" s="26"/>
      <c r="AM22" s="675"/>
      <c r="AO22" s="604" t="s">
        <v>38</v>
      </c>
      <c r="AP22" s="605">
        <v>2.42</v>
      </c>
      <c r="AQ22" s="606">
        <v>3.21</v>
      </c>
      <c r="AR22" s="607">
        <v>1.5</v>
      </c>
      <c r="AS22" s="65"/>
      <c r="AT22" s="83" t="s">
        <v>55</v>
      </c>
      <c r="AU22" s="86" t="s">
        <v>104</v>
      </c>
      <c r="AW22" s="14" t="s">
        <v>174</v>
      </c>
      <c r="AX22" s="74">
        <v>41</v>
      </c>
    </row>
    <row r="23" spans="2:56" ht="27.95" customHeight="1" thickBot="1" x14ac:dyDescent="0.3">
      <c r="B23" s="25"/>
      <c r="C23" s="26"/>
      <c r="D23" s="455" t="str">
        <f>IF(D16&gt;0,IF(E17&gt;0,E17/AV34*1000,IF(F17&gt;0,F17/AV35*1000,""))/D16,"")</f>
        <v/>
      </c>
      <c r="E23" s="26"/>
      <c r="F23" s="94" t="s">
        <v>175</v>
      </c>
      <c r="G23" s="95">
        <v>0.38</v>
      </c>
      <c r="H23" s="98" t="b">
        <v>0</v>
      </c>
      <c r="I23" s="675"/>
      <c r="K23" s="412"/>
      <c r="L23" s="524"/>
      <c r="M23" s="525"/>
      <c r="N23" s="526" t="s">
        <v>518</v>
      </c>
      <c r="O23" s="527" t="s">
        <v>549</v>
      </c>
      <c r="P23" s="528" t="s">
        <v>523</v>
      </c>
      <c r="Q23" s="505" t="s">
        <v>550</v>
      </c>
      <c r="R23" s="413"/>
      <c r="T23" s="25"/>
      <c r="U23" s="1765"/>
      <c r="V23" s="1767"/>
      <c r="W23" s="1769"/>
      <c r="X23" s="690"/>
      <c r="Y23" s="682"/>
      <c r="Z23" s="417"/>
      <c r="AA23" s="418"/>
      <c r="AB23" s="418"/>
      <c r="AC23" s="418"/>
      <c r="AD23" s="419"/>
      <c r="AE23" s="682"/>
      <c r="AF23" s="25"/>
      <c r="AG23" s="94" t="s">
        <v>110</v>
      </c>
      <c r="AH23" s="26"/>
      <c r="AI23" s="26"/>
      <c r="AJ23" s="26"/>
      <c r="AK23" s="26"/>
      <c r="AL23" s="26"/>
      <c r="AM23" s="675"/>
      <c r="AO23" s="608" t="s">
        <v>495</v>
      </c>
      <c r="AP23" s="609">
        <v>13.6</v>
      </c>
      <c r="AQ23" s="610">
        <v>18.2</v>
      </c>
      <c r="AR23" s="611">
        <v>25</v>
      </c>
      <c r="AS23" s="65"/>
      <c r="AT23" s="14" t="s">
        <v>88</v>
      </c>
      <c r="AU23" s="74">
        <v>21.9</v>
      </c>
      <c r="AW23" s="36" t="s">
        <v>175</v>
      </c>
      <c r="AX23" s="16">
        <v>38</v>
      </c>
    </row>
    <row r="24" spans="2:56" ht="27.95" customHeight="1" thickBot="1" x14ac:dyDescent="0.3">
      <c r="B24" s="25"/>
      <c r="C24" s="452"/>
      <c r="D24" s="26"/>
      <c r="E24" s="26"/>
      <c r="F24" s="94" t="s">
        <v>177</v>
      </c>
      <c r="G24" s="95">
        <v>0.13</v>
      </c>
      <c r="H24" s="79"/>
      <c r="I24" s="675"/>
      <c r="K24" s="412"/>
      <c r="L24" s="519" t="s">
        <v>511</v>
      </c>
      <c r="M24" s="520"/>
      <c r="N24" s="521">
        <f>SUM(N17:N22)</f>
        <v>0</v>
      </c>
      <c r="O24" s="514">
        <f>SUM(O17:O22)</f>
        <v>0</v>
      </c>
      <c r="P24" s="522">
        <f>SUM(P17:P22)</f>
        <v>0</v>
      </c>
      <c r="Q24" s="523">
        <f>SUM(Q17:Q22)</f>
        <v>0</v>
      </c>
      <c r="R24" s="413"/>
      <c r="T24" s="25"/>
      <c r="U24" s="813"/>
      <c r="V24" s="813"/>
      <c r="W24" s="813"/>
      <c r="X24" s="690"/>
      <c r="Y24" s="682"/>
      <c r="Z24" s="682"/>
      <c r="AA24" s="682"/>
      <c r="AB24" s="682"/>
      <c r="AC24" s="682"/>
      <c r="AD24" s="682"/>
      <c r="AE24" s="682"/>
      <c r="AF24" s="25"/>
      <c r="AG24" s="94" t="s">
        <v>111</v>
      </c>
      <c r="AH24" s="26"/>
      <c r="AI24" s="26"/>
      <c r="AJ24" s="713"/>
      <c r="AK24" s="713"/>
      <c r="AL24" s="713"/>
      <c r="AM24" s="675"/>
      <c r="AO24" s="608" t="s">
        <v>496</v>
      </c>
      <c r="AP24" s="609">
        <v>18.5</v>
      </c>
      <c r="AQ24" s="610">
        <v>30.6</v>
      </c>
      <c r="AR24" s="611">
        <v>20.6</v>
      </c>
      <c r="AT24" s="36" t="s">
        <v>105</v>
      </c>
      <c r="AU24" s="16">
        <v>5.5</v>
      </c>
      <c r="AW24" s="36" t="s">
        <v>176</v>
      </c>
      <c r="AX24" s="16">
        <v>4</v>
      </c>
    </row>
    <row r="25" spans="2:56" ht="27.95" customHeight="1" x14ac:dyDescent="0.25">
      <c r="B25" s="25"/>
      <c r="C25" s="26"/>
      <c r="D25" s="26"/>
      <c r="E25" s="26"/>
      <c r="F25" s="677" t="s">
        <v>181</v>
      </c>
      <c r="G25" s="95">
        <v>0.08</v>
      </c>
      <c r="H25" s="26"/>
      <c r="I25" s="675"/>
      <c r="K25" s="412"/>
      <c r="L25" s="657" t="s">
        <v>564</v>
      </c>
      <c r="M25" s="658"/>
      <c r="N25" s="572"/>
      <c r="O25" s="1550"/>
      <c r="P25" s="1551"/>
      <c r="Q25" s="1552"/>
      <c r="R25" s="413"/>
      <c r="T25" s="25"/>
      <c r="U25" s="26"/>
      <c r="V25" s="815" t="s">
        <v>667</v>
      </c>
      <c r="W25" s="816" t="s">
        <v>565</v>
      </c>
      <c r="X25" s="690"/>
      <c r="Y25" s="682"/>
      <c r="Z25" s="682"/>
      <c r="AA25" s="682"/>
      <c r="AB25" s="682"/>
      <c r="AC25" s="682"/>
      <c r="AD25" s="682"/>
      <c r="AE25" s="682"/>
      <c r="AF25" s="48"/>
      <c r="AG25" s="1715" t="s">
        <v>187</v>
      </c>
      <c r="AH25" s="1715"/>
      <c r="AI25" s="1715"/>
      <c r="AJ25" s="1715"/>
      <c r="AK25" s="33"/>
      <c r="AL25" s="33"/>
      <c r="AM25" s="675"/>
      <c r="AO25" s="664" t="s">
        <v>595</v>
      </c>
      <c r="AP25" s="609">
        <v>1.8</v>
      </c>
      <c r="AQ25" s="610">
        <v>2.29</v>
      </c>
      <c r="AR25" s="611">
        <v>2.2000000000000002</v>
      </c>
      <c r="AT25" s="36" t="s">
        <v>106</v>
      </c>
      <c r="AU25" s="16">
        <v>1</v>
      </c>
      <c r="AW25" s="36" t="s">
        <v>177</v>
      </c>
      <c r="AX25" s="16">
        <v>13</v>
      </c>
    </row>
    <row r="26" spans="2:56" ht="27.95" customHeight="1" thickBot="1" x14ac:dyDescent="0.3">
      <c r="B26" s="25"/>
      <c r="C26" s="688" t="s">
        <v>530</v>
      </c>
      <c r="D26" s="449"/>
      <c r="E26" s="276"/>
      <c r="F26" s="276"/>
      <c r="G26" s="276"/>
      <c r="H26" s="1596" t="s">
        <v>1243</v>
      </c>
      <c r="I26" s="675"/>
      <c r="J26" s="660"/>
      <c r="K26" s="412"/>
      <c r="L26" s="655" t="s">
        <v>56</v>
      </c>
      <c r="M26" s="578"/>
      <c r="N26" s="656"/>
      <c r="O26" s="421" t="e">
        <f>O25/O24</f>
        <v>#DIV/0!</v>
      </c>
      <c r="P26" s="422" t="e">
        <f>P25/P24</f>
        <v>#DIV/0!</v>
      </c>
      <c r="Q26" s="423" t="e">
        <f>Q25/Q24</f>
        <v>#DIV/0!</v>
      </c>
      <c r="R26" s="413"/>
      <c r="T26" s="25"/>
      <c r="U26" s="819" t="s">
        <v>671</v>
      </c>
      <c r="V26" s="817">
        <f>SUM(V17:V21)</f>
        <v>0</v>
      </c>
      <c r="W26" s="818">
        <f>SUM(W17:W22)</f>
        <v>0</v>
      </c>
      <c r="X26" s="690"/>
      <c r="Y26" s="682"/>
      <c r="Z26" s="682"/>
      <c r="AA26" s="682"/>
      <c r="AB26" s="682"/>
      <c r="AC26" s="682"/>
      <c r="AD26" s="682"/>
      <c r="AE26" s="682"/>
      <c r="AF26" s="25"/>
      <c r="AG26" s="1718" t="s">
        <v>7</v>
      </c>
      <c r="AH26" s="1718"/>
      <c r="AI26" s="1718"/>
      <c r="AJ26" s="1718"/>
      <c r="AK26" s="1598" t="s">
        <v>11</v>
      </c>
      <c r="AL26" s="99"/>
      <c r="AM26" s="675"/>
      <c r="AO26" s="608" t="s">
        <v>40</v>
      </c>
      <c r="AP26" s="609">
        <v>2.14</v>
      </c>
      <c r="AQ26" s="610">
        <v>2.98</v>
      </c>
      <c r="AR26" s="611">
        <v>3.11</v>
      </c>
      <c r="AT26" s="36" t="s">
        <v>39</v>
      </c>
      <c r="AU26" s="16">
        <v>5</v>
      </c>
      <c r="AW26" s="39" t="s">
        <v>178</v>
      </c>
      <c r="AX26" s="18">
        <v>4</v>
      </c>
    </row>
    <row r="27" spans="2:56" ht="27.95" customHeight="1" thickBot="1" x14ac:dyDescent="0.3">
      <c r="B27" s="25"/>
      <c r="C27" s="452" t="s">
        <v>521</v>
      </c>
      <c r="D27" s="452"/>
      <c r="E27" s="456">
        <f>IF(D16&gt;0,G17-G16,0)</f>
        <v>0</v>
      </c>
      <c r="F27" s="454" t="s">
        <v>529</v>
      </c>
      <c r="G27" s="456">
        <f>IF(D16&gt;0,E27*H27,0)</f>
        <v>0</v>
      </c>
      <c r="H27" s="1599">
        <v>4</v>
      </c>
      <c r="I27" s="675"/>
      <c r="J27" s="660"/>
      <c r="K27" s="412"/>
      <c r="L27" s="481" t="s">
        <v>59</v>
      </c>
      <c r="M27" s="479"/>
      <c r="N27" s="515"/>
      <c r="O27" s="414" t="e">
        <f>IF(O26&gt;0,IF(O26&lt;=Gut,"gut",IF(O26&lt;=Potential,"Potential","Bedarf")),"")</f>
        <v>#DIV/0!</v>
      </c>
      <c r="P27" s="415" t="e">
        <f>IF(P26&gt;0,IF(P26&lt;=Gut,"gut",IF(P26&lt;=Potential,"Potential","Bedarf")),"")</f>
        <v>#DIV/0!</v>
      </c>
      <c r="Q27" s="416" t="e">
        <f>IF(Q26&gt;0,IF(Q26&lt;=Gut,"gut",IF(Q26&lt;=Potential,"Potential","Bedarf")),"")</f>
        <v>#DIV/0!</v>
      </c>
      <c r="R27" s="413"/>
      <c r="T27" s="25"/>
      <c r="U27" s="820" t="s">
        <v>669</v>
      </c>
      <c r="V27" s="828" t="s">
        <v>668</v>
      </c>
      <c r="W27" s="1565"/>
      <c r="X27" s="690"/>
      <c r="Y27" s="682"/>
      <c r="Z27" s="682"/>
      <c r="AA27" s="682"/>
      <c r="AB27" s="682"/>
      <c r="AC27" s="682"/>
      <c r="AD27" s="682"/>
      <c r="AE27" s="682"/>
      <c r="AF27" s="25"/>
      <c r="AG27" s="1718" t="s">
        <v>0</v>
      </c>
      <c r="AH27" s="1718"/>
      <c r="AI27" s="1718"/>
      <c r="AJ27" s="1718"/>
      <c r="AK27" s="1598" t="s">
        <v>11</v>
      </c>
      <c r="AL27" s="99"/>
      <c r="AM27" s="675"/>
      <c r="AO27" s="667" t="s">
        <v>42</v>
      </c>
      <c r="AP27" s="612">
        <v>1.54</v>
      </c>
      <c r="AQ27" s="613">
        <v>2.23</v>
      </c>
      <c r="AR27" s="614">
        <v>1.74</v>
      </c>
      <c r="AT27" s="36" t="s">
        <v>42</v>
      </c>
      <c r="AU27" s="16">
        <v>12.5</v>
      </c>
    </row>
    <row r="28" spans="2:56" ht="27.95" customHeight="1" thickBot="1" x14ac:dyDescent="0.3">
      <c r="B28" s="412"/>
      <c r="C28" s="276"/>
      <c r="D28" s="276"/>
      <c r="E28" s="722" t="s">
        <v>746</v>
      </c>
      <c r="F28" s="276"/>
      <c r="G28" s="456">
        <f>IF(D16&gt;0,((G17*G47)-(G16*G48))*H27,0)</f>
        <v>0</v>
      </c>
      <c r="H28" s="452"/>
      <c r="I28" s="413"/>
      <c r="J28" s="660"/>
      <c r="K28" s="412"/>
      <c r="L28" s="276"/>
      <c r="M28" s="276"/>
      <c r="N28" s="276"/>
      <c r="O28" s="276"/>
      <c r="P28" s="276"/>
      <c r="Q28" s="276"/>
      <c r="R28" s="413"/>
      <c r="T28" s="25"/>
      <c r="U28" s="813"/>
      <c r="V28" s="814" t="s">
        <v>670</v>
      </c>
      <c r="W28" s="253" t="e">
        <f>W27/W26</f>
        <v>#DIV/0!</v>
      </c>
      <c r="X28" s="690"/>
      <c r="Y28" s="399"/>
      <c r="Z28" s="399"/>
      <c r="AA28" s="682"/>
      <c r="AB28" s="682"/>
      <c r="AC28" s="682"/>
      <c r="AD28" s="682"/>
      <c r="AE28" s="682"/>
      <c r="AF28" s="25"/>
      <c r="AG28" s="1718" t="s">
        <v>1</v>
      </c>
      <c r="AH28" s="1718"/>
      <c r="AI28" s="1718"/>
      <c r="AJ28" s="1718"/>
      <c r="AK28" s="1598" t="s">
        <v>11</v>
      </c>
      <c r="AL28" s="99"/>
      <c r="AM28" s="675"/>
      <c r="AT28" s="36" t="s">
        <v>40</v>
      </c>
      <c r="AU28" s="16">
        <v>8.5</v>
      </c>
    </row>
    <row r="29" spans="2:56" ht="27.95" customHeight="1" thickBot="1" x14ac:dyDescent="0.3">
      <c r="B29" s="412"/>
      <c r="C29" s="276"/>
      <c r="D29" s="276"/>
      <c r="E29" s="874"/>
      <c r="F29" s="276"/>
      <c r="G29" s="276"/>
      <c r="H29" s="276"/>
      <c r="I29" s="413"/>
      <c r="J29" s="661"/>
      <c r="K29" s="412"/>
      <c r="L29" s="452" t="s">
        <v>525</v>
      </c>
      <c r="M29" s="452"/>
      <c r="N29" s="452"/>
      <c r="O29" s="452"/>
      <c r="P29" s="455" t="str">
        <f>IF(N24&gt;0,IF(O25&gt;0,O25/AV34*1000,IF(P25&gt;0,P25/AV35*1000,""))/N24,"")</f>
        <v/>
      </c>
      <c r="Q29" s="452" t="s">
        <v>526</v>
      </c>
      <c r="R29" s="413"/>
      <c r="T29" s="25"/>
      <c r="U29" s="813"/>
      <c r="V29" s="693" t="s">
        <v>59</v>
      </c>
      <c r="W29" s="752" t="e">
        <f>IF(W28&gt;0,IF(W28&lt;=Gut,"gut",IF(W28&lt;=Potential,"Potential","Bedarf")),"")</f>
        <v>#DIV/0!</v>
      </c>
      <c r="X29" s="690"/>
      <c r="Y29" s="695"/>
      <c r="Z29" s="696"/>
      <c r="AF29" s="25"/>
      <c r="AG29" s="1718" t="s">
        <v>13</v>
      </c>
      <c r="AH29" s="1718"/>
      <c r="AI29" s="1718"/>
      <c r="AJ29" s="1718"/>
      <c r="AK29" s="1598" t="s">
        <v>11</v>
      </c>
      <c r="AL29" s="99"/>
      <c r="AM29" s="675"/>
      <c r="AO29" s="665"/>
      <c r="AP29" s="666"/>
      <c r="AQ29" s="666"/>
      <c r="AR29" s="666"/>
      <c r="AT29" s="36" t="s">
        <v>90</v>
      </c>
      <c r="AU29" s="16">
        <v>9</v>
      </c>
    </row>
    <row r="30" spans="2:56" ht="27.95" customHeight="1" thickBot="1" x14ac:dyDescent="0.3">
      <c r="B30" s="25"/>
      <c r="C30" s="452" t="s">
        <v>983</v>
      </c>
      <c r="D30" s="452"/>
      <c r="E30" s="456">
        <f>IF(D16&gt;0,IF(E17&gt;0,(E17-E16)/AV34*1000,IF(F17&gt;0,(F17-F16)/AV35*1000,0)),0)</f>
        <v>0</v>
      </c>
      <c r="F30" s="454" t="s">
        <v>529</v>
      </c>
      <c r="G30" s="456">
        <f>E30*0.6</f>
        <v>0</v>
      </c>
      <c r="H30" s="452" t="s">
        <v>528</v>
      </c>
      <c r="I30" s="675"/>
      <c r="J30" s="660"/>
      <c r="K30" s="412"/>
      <c r="L30" s="452" t="s">
        <v>527</v>
      </c>
      <c r="M30" s="452"/>
      <c r="N30" s="452"/>
      <c r="O30" s="452"/>
      <c r="P30" s="276"/>
      <c r="Q30" s="276"/>
      <c r="R30" s="413"/>
      <c r="T30" s="2"/>
      <c r="U30" s="813"/>
      <c r="V30" s="276"/>
      <c r="W30" s="276"/>
      <c r="X30" s="413"/>
      <c r="AF30" s="25"/>
      <c r="AG30" s="1718" t="s">
        <v>15</v>
      </c>
      <c r="AH30" s="1718"/>
      <c r="AI30" s="1718"/>
      <c r="AJ30" s="1718"/>
      <c r="AK30" s="1598" t="s">
        <v>11</v>
      </c>
      <c r="AL30" s="99"/>
      <c r="AM30" s="675"/>
      <c r="AO30" s="665"/>
      <c r="AP30" s="666"/>
      <c r="AQ30" s="666"/>
      <c r="AR30" s="666"/>
      <c r="AT30" s="39" t="s">
        <v>34</v>
      </c>
      <c r="AU30" s="18">
        <v>11</v>
      </c>
    </row>
    <row r="31" spans="2:56" ht="27.95" customHeight="1" thickBot="1" x14ac:dyDescent="0.3">
      <c r="B31" s="29"/>
      <c r="C31" s="678"/>
      <c r="D31" s="678"/>
      <c r="E31" s="678"/>
      <c r="F31" s="678"/>
      <c r="G31" s="678"/>
      <c r="H31" s="678"/>
      <c r="I31" s="679"/>
      <c r="J31" s="660"/>
      <c r="K31" s="412"/>
      <c r="L31" s="276"/>
      <c r="M31" s="276"/>
      <c r="N31" s="276"/>
      <c r="O31" s="276"/>
      <c r="P31" s="276"/>
      <c r="Q31" s="276"/>
      <c r="R31" s="413"/>
      <c r="T31" s="2"/>
      <c r="U31" s="482" t="s">
        <v>560</v>
      </c>
      <c r="V31" s="718"/>
      <c r="W31" s="697"/>
      <c r="X31" s="698"/>
      <c r="Z31" s="399"/>
      <c r="AF31" s="25"/>
      <c r="AG31" s="1718" t="s">
        <v>2</v>
      </c>
      <c r="AH31" s="1718"/>
      <c r="AI31" s="1718"/>
      <c r="AJ31" s="1718"/>
      <c r="AK31" s="1598" t="s">
        <v>11</v>
      </c>
      <c r="AL31" s="99"/>
      <c r="AM31" s="675"/>
      <c r="AO31" s="665"/>
      <c r="AP31" s="666"/>
      <c r="AQ31" s="666"/>
      <c r="AR31" s="666"/>
    </row>
    <row r="32" spans="2:56" ht="27.95" customHeight="1" thickBot="1" x14ac:dyDescent="0.3">
      <c r="J32" s="660"/>
      <c r="K32" s="412"/>
      <c r="L32" s="482" t="s">
        <v>537</v>
      </c>
      <c r="M32" s="276"/>
      <c r="N32" s="276"/>
      <c r="O32" s="276"/>
      <c r="P32" s="276"/>
      <c r="Q32" s="1596" t="s">
        <v>1243</v>
      </c>
      <c r="R32" s="483"/>
      <c r="T32" s="2"/>
      <c r="U32" s="719" t="s">
        <v>604</v>
      </c>
      <c r="V32" s="719"/>
      <c r="W32" s="456">
        <f>IF(V26&gt;0,W27-W26,0)</f>
        <v>0</v>
      </c>
      <c r="X32" s="3"/>
      <c r="AF32" s="25"/>
      <c r="AG32" s="94"/>
      <c r="AH32" s="94"/>
      <c r="AI32" s="94"/>
      <c r="AJ32" s="94"/>
      <c r="AK32" s="26"/>
      <c r="AL32" s="26"/>
      <c r="AM32" s="675"/>
      <c r="AO32" s="1760" t="s">
        <v>168</v>
      </c>
      <c r="AP32" s="1761"/>
      <c r="AQ32" s="1761"/>
      <c r="AR32" s="1762"/>
      <c r="AS32" s="1763"/>
      <c r="AU32" s="379" t="s">
        <v>507</v>
      </c>
      <c r="AV32" s="380"/>
      <c r="AW32" s="380"/>
      <c r="AX32" s="380"/>
      <c r="AY32" s="380"/>
      <c r="AZ32" s="380"/>
      <c r="BA32" s="380"/>
      <c r="BB32" s="380"/>
      <c r="BC32" s="380"/>
      <c r="BD32" s="381"/>
    </row>
    <row r="33" spans="3:56" ht="27.95" customHeight="1" thickBot="1" x14ac:dyDescent="0.3">
      <c r="J33" s="660"/>
      <c r="K33" s="412"/>
      <c r="L33" s="452" t="s">
        <v>521</v>
      </c>
      <c r="M33" s="276"/>
      <c r="N33" s="456">
        <f>IF(N24&gt;0,Q25-Q24,0)</f>
        <v>0</v>
      </c>
      <c r="O33" s="454" t="s">
        <v>529</v>
      </c>
      <c r="P33" s="456">
        <f>IF(N24&gt;0,N33*Q33,0)</f>
        <v>0</v>
      </c>
      <c r="Q33" s="1599">
        <v>4</v>
      </c>
      <c r="R33" s="483"/>
      <c r="T33" s="2"/>
      <c r="U33" s="719" t="s">
        <v>605</v>
      </c>
      <c r="V33" s="720"/>
      <c r="W33" s="456">
        <f>IF(V26&gt;0,W32*0.2,0)</f>
        <v>0</v>
      </c>
      <c r="X33" s="699"/>
      <c r="AF33" s="48"/>
      <c r="AG33" s="1717" t="s">
        <v>75</v>
      </c>
      <c r="AH33" s="1717"/>
      <c r="AI33" s="1717"/>
      <c r="AJ33" s="1717"/>
      <c r="AK33" s="33"/>
      <c r="AL33" s="33"/>
      <c r="AM33" s="675"/>
      <c r="AO33" s="721" t="s">
        <v>614</v>
      </c>
      <c r="AP33" s="1756" t="s">
        <v>170</v>
      </c>
      <c r="AQ33" s="1757"/>
      <c r="AR33" s="1719"/>
      <c r="AS33" s="1720"/>
      <c r="AU33" s="595"/>
      <c r="AV33" s="580" t="s">
        <v>28</v>
      </c>
      <c r="AW33" s="580" t="s">
        <v>29</v>
      </c>
      <c r="AX33" s="580" t="s">
        <v>49</v>
      </c>
      <c r="AY33" s="580" t="s">
        <v>30</v>
      </c>
      <c r="AZ33" s="580" t="s">
        <v>31</v>
      </c>
      <c r="BA33" s="580" t="s">
        <v>32</v>
      </c>
      <c r="BB33" s="580" t="s">
        <v>33</v>
      </c>
      <c r="BC33" s="580" t="s">
        <v>34</v>
      </c>
      <c r="BD33" s="588" t="s">
        <v>35</v>
      </c>
    </row>
    <row r="34" spans="3:56" ht="27.95" customHeight="1" thickBot="1" x14ac:dyDescent="0.3">
      <c r="C34" s="1614" t="s">
        <v>999</v>
      </c>
      <c r="D34" s="1615"/>
      <c r="E34" s="1615"/>
      <c r="F34" s="1615"/>
      <c r="G34" s="1615"/>
      <c r="H34" s="1616"/>
      <c r="J34" s="660"/>
      <c r="K34" s="412"/>
      <c r="L34" s="276"/>
      <c r="M34" s="276"/>
      <c r="N34" s="722" t="s">
        <v>746</v>
      </c>
      <c r="O34" s="276"/>
      <c r="P34" s="456">
        <f>IF(N24&gt;0,((Q25*P52)-(Q24*P53))*Q33,0)</f>
        <v>0</v>
      </c>
      <c r="Q34" s="452"/>
      <c r="R34" s="413"/>
      <c r="T34" s="4"/>
      <c r="U34" s="700"/>
      <c r="V34" s="700"/>
      <c r="W34" s="700"/>
      <c r="X34" s="5"/>
      <c r="AF34" s="25"/>
      <c r="AG34" s="1716" t="s">
        <v>183</v>
      </c>
      <c r="AH34" s="1716"/>
      <c r="AI34" s="1716"/>
      <c r="AJ34" s="1716"/>
      <c r="AK34" s="1598" t="s">
        <v>11</v>
      </c>
      <c r="AL34" s="99"/>
      <c r="AM34" s="675"/>
      <c r="AO34" s="72" t="s">
        <v>55</v>
      </c>
      <c r="AP34" s="73" t="s">
        <v>166</v>
      </c>
      <c r="AQ34" s="78" t="s">
        <v>167</v>
      </c>
      <c r="AR34" s="69"/>
      <c r="AS34" s="38"/>
      <c r="AU34" s="593" t="s">
        <v>36</v>
      </c>
      <c r="AV34" s="407">
        <v>114</v>
      </c>
      <c r="AW34" s="407">
        <v>90</v>
      </c>
      <c r="AX34" s="407">
        <v>61</v>
      </c>
      <c r="AY34" s="407">
        <v>400</v>
      </c>
      <c r="AZ34" s="407">
        <v>271</v>
      </c>
      <c r="BA34" s="407">
        <v>42</v>
      </c>
      <c r="BB34" s="407">
        <v>35</v>
      </c>
      <c r="BC34" s="407">
        <v>700</v>
      </c>
      <c r="BD34" s="408">
        <v>600</v>
      </c>
    </row>
    <row r="35" spans="3:56" ht="27.95" customHeight="1" x14ac:dyDescent="0.25">
      <c r="C35" s="1617" t="s">
        <v>757</v>
      </c>
      <c r="D35" s="1618"/>
      <c r="E35" s="1618"/>
      <c r="F35" s="1618"/>
      <c r="G35" s="1618"/>
      <c r="H35" s="1619"/>
      <c r="J35" s="660"/>
      <c r="K35" s="412"/>
      <c r="L35" s="276"/>
      <c r="M35" s="276"/>
      <c r="N35" s="874"/>
      <c r="O35" s="276"/>
      <c r="P35" s="276"/>
      <c r="Q35" s="276"/>
      <c r="R35" s="413"/>
      <c r="T35" s="7"/>
      <c r="U35" s="7"/>
      <c r="V35" s="7"/>
      <c r="W35" s="7"/>
      <c r="X35" s="7"/>
      <c r="AF35" s="25"/>
      <c r="AG35" s="1716" t="s">
        <v>79</v>
      </c>
      <c r="AH35" s="1716"/>
      <c r="AI35" s="1716"/>
      <c r="AJ35" s="1716"/>
      <c r="AK35" s="1598" t="s">
        <v>11</v>
      </c>
      <c r="AL35" s="99"/>
      <c r="AM35" s="675"/>
      <c r="AO35" s="75" t="s">
        <v>165</v>
      </c>
      <c r="AP35" s="77">
        <v>35.299999999999997</v>
      </c>
      <c r="AQ35" s="52"/>
      <c r="AR35" s="222"/>
      <c r="AS35" s="74"/>
      <c r="AU35" s="593" t="s">
        <v>37</v>
      </c>
      <c r="AV35" s="407">
        <v>183</v>
      </c>
      <c r="AW35" s="407">
        <v>147</v>
      </c>
      <c r="AX35" s="407">
        <v>134</v>
      </c>
      <c r="AY35" s="407">
        <v>750</v>
      </c>
      <c r="AZ35" s="407">
        <v>378</v>
      </c>
      <c r="BA35" s="407">
        <v>65</v>
      </c>
      <c r="BB35" s="407">
        <v>60</v>
      </c>
      <c r="BC35" s="407">
        <v>950</v>
      </c>
      <c r="BD35" s="408"/>
    </row>
    <row r="36" spans="3:56" ht="27.95" customHeight="1" x14ac:dyDescent="0.25">
      <c r="C36" s="1617"/>
      <c r="D36" s="1618"/>
      <c r="E36" s="1618"/>
      <c r="F36" s="1618"/>
      <c r="G36" s="1618"/>
      <c r="H36" s="1619"/>
      <c r="J36" s="660"/>
      <c r="K36" s="412"/>
      <c r="L36" s="452" t="s">
        <v>983</v>
      </c>
      <c r="M36" s="276"/>
      <c r="N36" s="456">
        <f>IF(N24&gt;0,IF(O25&gt;0,(O25-O24)/AV34*1000,IF(P25&gt;0,(P25-P24)/AV35*1000,0)),0)</f>
        <v>0</v>
      </c>
      <c r="O36" s="454" t="s">
        <v>529</v>
      </c>
      <c r="P36" s="456">
        <f>N36*0.6</f>
        <v>0</v>
      </c>
      <c r="Q36" s="452" t="s">
        <v>528</v>
      </c>
      <c r="R36" s="483"/>
      <c r="AF36" s="25"/>
      <c r="AG36" s="1716" t="s">
        <v>182</v>
      </c>
      <c r="AH36" s="1716"/>
      <c r="AI36" s="1716"/>
      <c r="AJ36" s="1716"/>
      <c r="AK36" s="1598" t="s">
        <v>11</v>
      </c>
      <c r="AL36" s="99"/>
      <c r="AM36" s="675"/>
      <c r="AO36" s="70" t="s">
        <v>169</v>
      </c>
      <c r="AP36" s="71">
        <v>48.4</v>
      </c>
      <c r="AQ36" s="64"/>
      <c r="AR36" s="36"/>
      <c r="AS36" s="37"/>
      <c r="AU36" s="593" t="s">
        <v>48</v>
      </c>
      <c r="AV36" s="407">
        <v>125</v>
      </c>
      <c r="AW36" s="407">
        <v>97</v>
      </c>
      <c r="AX36" s="407">
        <v>87</v>
      </c>
      <c r="AY36" s="407">
        <v>379</v>
      </c>
      <c r="AZ36" s="407">
        <v>260</v>
      </c>
      <c r="BA36" s="407">
        <v>62</v>
      </c>
      <c r="BB36" s="407">
        <v>56</v>
      </c>
      <c r="BC36" s="407">
        <v>957</v>
      </c>
      <c r="BD36" s="408">
        <v>950</v>
      </c>
    </row>
    <row r="37" spans="3:56" ht="27.95" customHeight="1" thickBot="1" x14ac:dyDescent="0.35">
      <c r="C37" s="855"/>
      <c r="D37" s="859" t="s">
        <v>750</v>
      </c>
      <c r="E37" s="859" t="s">
        <v>751</v>
      </c>
      <c r="F37" s="461"/>
      <c r="G37" s="461" t="s">
        <v>954</v>
      </c>
      <c r="H37" s="1355" t="s">
        <v>751</v>
      </c>
      <c r="J37" s="660"/>
      <c r="K37" s="417"/>
      <c r="L37" s="418"/>
      <c r="M37" s="418"/>
      <c r="N37" s="418"/>
      <c r="O37" s="418"/>
      <c r="P37" s="425"/>
      <c r="Q37" s="418"/>
      <c r="R37" s="681"/>
      <c r="AF37" s="714"/>
      <c r="AG37" s="1716" t="s">
        <v>184</v>
      </c>
      <c r="AH37" s="1716"/>
      <c r="AI37" s="1716"/>
      <c r="AJ37" s="1716"/>
      <c r="AK37" s="1598" t="s">
        <v>11</v>
      </c>
      <c r="AL37" s="705"/>
      <c r="AM37" s="715"/>
      <c r="AO37" s="1602" t="s">
        <v>554</v>
      </c>
      <c r="AP37" s="71">
        <v>56.8</v>
      </c>
      <c r="AQ37" s="64"/>
      <c r="AR37" s="36"/>
      <c r="AS37" s="37"/>
      <c r="AU37" s="593" t="s">
        <v>114</v>
      </c>
      <c r="AV37" s="407">
        <v>35</v>
      </c>
      <c r="AW37" s="407">
        <v>0.5</v>
      </c>
      <c r="AX37" s="407">
        <v>5</v>
      </c>
      <c r="AY37" s="407">
        <v>315</v>
      </c>
      <c r="AZ37" s="407">
        <v>75</v>
      </c>
      <c r="BA37" s="407">
        <v>0.5</v>
      </c>
      <c r="BB37" s="407">
        <v>0.5</v>
      </c>
      <c r="BC37" s="407">
        <v>10</v>
      </c>
      <c r="BD37" s="408">
        <v>12</v>
      </c>
    </row>
    <row r="38" spans="3:56" ht="27.95" customHeight="1" thickBot="1" x14ac:dyDescent="0.3">
      <c r="C38" s="858" t="s">
        <v>737</v>
      </c>
      <c r="D38" s="1104">
        <f>G17</f>
        <v>0</v>
      </c>
      <c r="E38" s="1337">
        <f>G16</f>
        <v>0</v>
      </c>
      <c r="F38" s="860" t="s">
        <v>738</v>
      </c>
      <c r="G38" s="861">
        <v>0</v>
      </c>
      <c r="H38" s="1356">
        <v>0</v>
      </c>
      <c r="J38" s="660"/>
      <c r="K38" s="399"/>
      <c r="L38" s="660"/>
      <c r="M38" s="660"/>
      <c r="N38" s="660"/>
      <c r="O38" s="660"/>
      <c r="P38" s="660"/>
      <c r="Q38" s="660"/>
      <c r="R38" s="399"/>
      <c r="AF38" s="25"/>
      <c r="AG38" s="1731" t="s">
        <v>191</v>
      </c>
      <c r="AH38" s="1731"/>
      <c r="AI38" s="1731"/>
      <c r="AJ38" s="1731"/>
      <c r="AK38" s="1598" t="s">
        <v>11</v>
      </c>
      <c r="AL38" s="99"/>
      <c r="AM38" s="675"/>
      <c r="AO38" s="70" t="s">
        <v>88</v>
      </c>
      <c r="AP38" s="71">
        <v>54.4</v>
      </c>
      <c r="AQ38" s="64"/>
      <c r="AR38" s="36"/>
      <c r="AS38" s="37"/>
      <c r="AU38" s="593" t="s">
        <v>116</v>
      </c>
      <c r="AV38" s="407">
        <v>36</v>
      </c>
      <c r="AW38" s="407">
        <v>36</v>
      </c>
      <c r="AX38" s="407">
        <v>35</v>
      </c>
      <c r="AY38" s="407">
        <v>28</v>
      </c>
      <c r="AZ38" s="407">
        <v>71</v>
      </c>
      <c r="BA38" s="407">
        <v>7.5</v>
      </c>
      <c r="BB38" s="407">
        <v>7.5</v>
      </c>
      <c r="BC38" s="407">
        <v>350</v>
      </c>
      <c r="BD38" s="408">
        <v>123</v>
      </c>
    </row>
    <row r="39" spans="3:56" ht="27.95" customHeight="1" thickBot="1" x14ac:dyDescent="0.3">
      <c r="C39" s="858" t="s">
        <v>739</v>
      </c>
      <c r="D39" s="861">
        <f>IF(F17&gt;0,F17,D40/AV34*AV35)</f>
        <v>0</v>
      </c>
      <c r="E39" s="859">
        <f>IF(F16&gt;0,F16,E40/AV34*AV35)</f>
        <v>0</v>
      </c>
      <c r="F39" s="860" t="s">
        <v>740</v>
      </c>
      <c r="G39" s="862">
        <f>D39/3*0.17</f>
        <v>0</v>
      </c>
      <c r="H39" s="1341">
        <f>E39/3*0.17</f>
        <v>0</v>
      </c>
      <c r="J39" s="660"/>
      <c r="K39" s="399"/>
      <c r="L39" s="1614" t="s">
        <v>1001</v>
      </c>
      <c r="M39" s="1615"/>
      <c r="N39" s="1615"/>
      <c r="O39" s="1615"/>
      <c r="P39" s="1615"/>
      <c r="Q39" s="1616"/>
      <c r="R39" s="399"/>
      <c r="AF39" s="25"/>
      <c r="AG39" s="1716" t="s">
        <v>267</v>
      </c>
      <c r="AH39" s="1716"/>
      <c r="AI39" s="1716"/>
      <c r="AJ39" s="1716"/>
      <c r="AK39" s="1598" t="s">
        <v>11</v>
      </c>
      <c r="AL39" s="99"/>
      <c r="AM39" s="675"/>
      <c r="AO39" s="223" t="s">
        <v>42</v>
      </c>
      <c r="AP39" s="125">
        <v>23.6</v>
      </c>
      <c r="AQ39" s="224"/>
      <c r="AR39" s="39"/>
      <c r="AS39" s="38"/>
      <c r="AU39" s="594" t="s">
        <v>115</v>
      </c>
      <c r="AV39" s="391">
        <v>47</v>
      </c>
      <c r="AW39" s="391">
        <v>47</v>
      </c>
      <c r="AX39" s="391">
        <v>40</v>
      </c>
      <c r="AY39" s="391">
        <v>33</v>
      </c>
      <c r="AZ39" s="391">
        <v>98</v>
      </c>
      <c r="BA39" s="391">
        <v>47</v>
      </c>
      <c r="BB39" s="391">
        <v>40</v>
      </c>
      <c r="BC39" s="391">
        <v>519</v>
      </c>
      <c r="BD39" s="392">
        <v>734</v>
      </c>
    </row>
    <row r="40" spans="3:56" ht="27.95" customHeight="1" thickBot="1" x14ac:dyDescent="0.3">
      <c r="C40" s="858" t="s">
        <v>749</v>
      </c>
      <c r="D40" s="862">
        <f>E17</f>
        <v>0</v>
      </c>
      <c r="E40" s="876">
        <f>E16</f>
        <v>0</v>
      </c>
      <c r="F40" s="860" t="s">
        <v>741</v>
      </c>
      <c r="G40" s="862">
        <f>D39/3*0.03</f>
        <v>0</v>
      </c>
      <c r="H40" s="1341">
        <f>E39/3*0.03</f>
        <v>0</v>
      </c>
      <c r="J40" s="660"/>
      <c r="K40" s="399"/>
      <c r="L40" s="1617" t="s">
        <v>757</v>
      </c>
      <c r="M40" s="1618"/>
      <c r="N40" s="1618"/>
      <c r="O40" s="1618"/>
      <c r="P40" s="1618"/>
      <c r="Q40" s="1619"/>
      <c r="R40" s="399"/>
      <c r="AF40" s="25"/>
      <c r="AG40" s="1716" t="s">
        <v>186</v>
      </c>
      <c r="AH40" s="1716"/>
      <c r="AI40" s="1716"/>
      <c r="AJ40" s="1716"/>
      <c r="AK40" s="1598" t="s">
        <v>11</v>
      </c>
      <c r="AL40" s="99"/>
      <c r="AM40" s="675"/>
    </row>
    <row r="41" spans="3:56" ht="27.95" customHeight="1" thickBot="1" x14ac:dyDescent="0.4">
      <c r="C41" s="863" t="s">
        <v>712</v>
      </c>
      <c r="D41" s="864">
        <f>D39+Zuschlag!$B$35*Zuschlag!$B$34*G39</f>
        <v>0</v>
      </c>
      <c r="E41" s="864">
        <f>E39+Zuschlag!$B$35*Zuschlag!$B$34*H39</f>
        <v>0</v>
      </c>
      <c r="F41" s="865" t="s">
        <v>715</v>
      </c>
      <c r="G41" s="866">
        <f>D38/Zuschlag!$B$22</f>
        <v>0</v>
      </c>
      <c r="H41" s="1342">
        <f>E38/Zuschlag!$B$22</f>
        <v>0</v>
      </c>
      <c r="J41" s="660"/>
      <c r="K41" s="399"/>
      <c r="L41" s="1617"/>
      <c r="M41" s="1618"/>
      <c r="N41" s="1618"/>
      <c r="O41" s="1618"/>
      <c r="P41" s="1618"/>
      <c r="Q41" s="1619"/>
      <c r="R41" s="399"/>
      <c r="AF41" s="25"/>
      <c r="AG41" s="94"/>
      <c r="AH41" s="94"/>
      <c r="AI41" s="94"/>
      <c r="AJ41" s="94"/>
      <c r="AK41" s="26"/>
      <c r="AL41" s="26"/>
      <c r="AM41" s="675"/>
      <c r="AO41" s="729" t="s">
        <v>625</v>
      </c>
      <c r="AP41" s="730"/>
      <c r="AQ41" s="730"/>
      <c r="AR41" s="730"/>
      <c r="AS41" s="731"/>
    </row>
    <row r="42" spans="3:56" ht="27.95" customHeight="1" x14ac:dyDescent="0.35">
      <c r="C42" s="863" t="s">
        <v>713</v>
      </c>
      <c r="D42" s="864">
        <f>G38+Zuschlag!$B$36*D39+Zuschlag!$B$37*G40</f>
        <v>0</v>
      </c>
      <c r="E42" s="864">
        <f>H38+Zuschlag!$B$36*E39+Zuschlag!$B$37*H40</f>
        <v>0</v>
      </c>
      <c r="F42" s="865" t="s">
        <v>716</v>
      </c>
      <c r="G42" s="866">
        <f>D41/Zuschlag!$B$23</f>
        <v>0</v>
      </c>
      <c r="H42" s="1342">
        <f>E41/Zuschlag!$B$23</f>
        <v>0</v>
      </c>
      <c r="J42" s="660"/>
      <c r="K42" s="399"/>
      <c r="L42" s="855"/>
      <c r="M42" s="859" t="s">
        <v>750</v>
      </c>
      <c r="N42" s="859" t="s">
        <v>751</v>
      </c>
      <c r="O42" s="461"/>
      <c r="P42" s="461" t="s">
        <v>954</v>
      </c>
      <c r="Q42" s="1355" t="s">
        <v>751</v>
      </c>
      <c r="R42" s="399"/>
      <c r="AF42" s="48"/>
      <c r="AG42" s="1715" t="s">
        <v>63</v>
      </c>
      <c r="AH42" s="1715"/>
      <c r="AI42" s="1715"/>
      <c r="AJ42" s="1715"/>
      <c r="AK42" s="33"/>
      <c r="AL42" s="33"/>
      <c r="AM42" s="675"/>
      <c r="AO42" s="732" t="s">
        <v>618</v>
      </c>
      <c r="AP42" s="728" t="s">
        <v>619</v>
      </c>
      <c r="AQ42" s="728"/>
      <c r="AR42" s="728"/>
      <c r="AS42" s="733"/>
    </row>
    <row r="43" spans="3:56" ht="27.95" customHeight="1" x14ac:dyDescent="0.35">
      <c r="C43" s="863" t="s">
        <v>714</v>
      </c>
      <c r="D43" s="864">
        <f>G40</f>
        <v>0</v>
      </c>
      <c r="E43" s="864">
        <f>H40</f>
        <v>0</v>
      </c>
      <c r="F43" s="865" t="s">
        <v>717</v>
      </c>
      <c r="G43" s="866">
        <f>D42/Zuschlag!$B$24</f>
        <v>0</v>
      </c>
      <c r="H43" s="1342">
        <f>E42/Zuschlag!$B$24</f>
        <v>0</v>
      </c>
      <c r="J43" s="660"/>
      <c r="K43" s="399"/>
      <c r="L43" s="858" t="s">
        <v>737</v>
      </c>
      <c r="M43" s="1104">
        <f>Q25</f>
        <v>0</v>
      </c>
      <c r="N43" s="1337">
        <f>Q24</f>
        <v>0</v>
      </c>
      <c r="O43" s="860" t="s">
        <v>738</v>
      </c>
      <c r="P43" s="861">
        <v>0</v>
      </c>
      <c r="Q43" s="1356">
        <v>0</v>
      </c>
      <c r="R43" s="399"/>
      <c r="AF43" s="25"/>
      <c r="AG43" s="1716" t="s">
        <v>73</v>
      </c>
      <c r="AH43" s="1716"/>
      <c r="AI43" s="1716"/>
      <c r="AJ43" s="1716"/>
      <c r="AK43" s="1598" t="s">
        <v>11</v>
      </c>
      <c r="AL43" s="99"/>
      <c r="AM43" s="675"/>
      <c r="AO43" s="732" t="s">
        <v>620</v>
      </c>
      <c r="AP43" s="728" t="s">
        <v>624</v>
      </c>
      <c r="AQ43" s="728"/>
      <c r="AR43" s="728"/>
      <c r="AS43" s="733"/>
    </row>
    <row r="44" spans="3:56" ht="27.95" customHeight="1" thickBot="1" x14ac:dyDescent="0.4">
      <c r="C44" s="868"/>
      <c r="D44" s="378"/>
      <c r="E44" s="65"/>
      <c r="F44" s="865" t="s">
        <v>718</v>
      </c>
      <c r="G44" s="866">
        <f>D43/Zuschlag!$B$21</f>
        <v>0</v>
      </c>
      <c r="H44" s="1342">
        <f>E43/Zuschlag!$B$21</f>
        <v>0</v>
      </c>
      <c r="J44" s="660"/>
      <c r="K44" s="399"/>
      <c r="L44" s="858" t="s">
        <v>739</v>
      </c>
      <c r="M44" s="861">
        <f>IF(P25&gt;0,P25,M45/AV34*AV35)</f>
        <v>0</v>
      </c>
      <c r="N44" s="859">
        <f>IF(P24&gt;0,P24,N45/AV34*AV35)</f>
        <v>0</v>
      </c>
      <c r="O44" s="860" t="s">
        <v>740</v>
      </c>
      <c r="P44" s="862">
        <f>M44/3*0.17</f>
        <v>0</v>
      </c>
      <c r="Q44" s="1341">
        <f>N44/3*0.17</f>
        <v>0</v>
      </c>
      <c r="R44" s="399"/>
      <c r="AF44" s="25"/>
      <c r="AG44" s="1716" t="s">
        <v>69</v>
      </c>
      <c r="AH44" s="1716"/>
      <c r="AI44" s="1716"/>
      <c r="AJ44" s="1716"/>
      <c r="AK44" s="1598" t="s">
        <v>11</v>
      </c>
      <c r="AL44" s="99"/>
      <c r="AM44" s="675"/>
      <c r="AO44" s="734" t="s">
        <v>621</v>
      </c>
      <c r="AP44" s="735" t="s">
        <v>622</v>
      </c>
      <c r="AQ44" s="735"/>
      <c r="AR44" s="202">
        <v>5</v>
      </c>
      <c r="AS44" s="736" t="s">
        <v>623</v>
      </c>
    </row>
    <row r="45" spans="3:56" ht="27.95" customHeight="1" x14ac:dyDescent="0.25">
      <c r="C45" s="863" t="s">
        <v>719</v>
      </c>
      <c r="D45" s="666" t="e">
        <f>G42/G41</f>
        <v>#DIV/0!</v>
      </c>
      <c r="E45" s="666" t="e">
        <f>H42/H41</f>
        <v>#DIV/0!</v>
      </c>
      <c r="F45" s="378"/>
      <c r="G45" s="459"/>
      <c r="H45" s="867"/>
      <c r="K45" s="399"/>
      <c r="L45" s="858" t="s">
        <v>749</v>
      </c>
      <c r="M45" s="862">
        <f>O25</f>
        <v>0</v>
      </c>
      <c r="N45" s="876">
        <f>O24</f>
        <v>0</v>
      </c>
      <c r="O45" s="860" t="s">
        <v>741</v>
      </c>
      <c r="P45" s="862">
        <f>M44/3*0.03</f>
        <v>0</v>
      </c>
      <c r="Q45" s="1341">
        <f>N44/3*0.03</f>
        <v>0</v>
      </c>
      <c r="R45" s="399"/>
      <c r="AF45" s="25"/>
      <c r="AG45" s="1716" t="s">
        <v>411</v>
      </c>
      <c r="AH45" s="1716"/>
      <c r="AI45" s="1716"/>
      <c r="AJ45" s="1716"/>
      <c r="AK45" s="1598" t="s">
        <v>11</v>
      </c>
      <c r="AL45" s="99"/>
      <c r="AM45" s="675"/>
      <c r="AO45" s="41" t="s">
        <v>108</v>
      </c>
      <c r="BB45" s="22"/>
    </row>
    <row r="46" spans="3:56" ht="27.95" customHeight="1" x14ac:dyDescent="0.35">
      <c r="C46" s="863" t="s">
        <v>720</v>
      </c>
      <c r="D46" s="666" t="e">
        <f>G43/G41</f>
        <v>#DIV/0!</v>
      </c>
      <c r="E46" s="666" t="e">
        <f>H43/H41</f>
        <v>#DIV/0!</v>
      </c>
      <c r="F46" s="378"/>
      <c r="G46" s="378"/>
      <c r="H46" s="867"/>
      <c r="K46" s="660"/>
      <c r="L46" s="863" t="s">
        <v>712</v>
      </c>
      <c r="M46" s="864">
        <f>M44+Zuschlag!$B$35*Zuschlag!$B$34*P44</f>
        <v>0</v>
      </c>
      <c r="N46" s="864">
        <f>N44+Zuschlag!$B$35*Zuschlag!$B$34*Q44</f>
        <v>0</v>
      </c>
      <c r="O46" s="865" t="s">
        <v>715</v>
      </c>
      <c r="P46" s="866">
        <f>M43/Zuschlag!$B$22</f>
        <v>0</v>
      </c>
      <c r="Q46" s="1342">
        <f>N43/Zuschlag!$B$22</f>
        <v>0</v>
      </c>
      <c r="R46" s="660"/>
      <c r="AF46" s="25"/>
      <c r="AG46" s="1716" t="s">
        <v>190</v>
      </c>
      <c r="AH46" s="1716"/>
      <c r="AI46" s="1716"/>
      <c r="AJ46" s="1716"/>
      <c r="AK46" s="1598" t="s">
        <v>11</v>
      </c>
      <c r="AL46" s="99"/>
      <c r="AM46" s="675"/>
      <c r="AO46" s="44" t="s">
        <v>16</v>
      </c>
      <c r="AP46" s="9" t="s">
        <v>26</v>
      </c>
      <c r="AQ46" s="9" t="s">
        <v>17</v>
      </c>
      <c r="AR46" s="9" t="s">
        <v>18</v>
      </c>
      <c r="AS46" s="9" t="s">
        <v>19</v>
      </c>
      <c r="AT46" s="42" t="s">
        <v>22</v>
      </c>
      <c r="AU46" s="42" t="s">
        <v>24</v>
      </c>
      <c r="AV46" s="43" t="s">
        <v>21</v>
      </c>
      <c r="AW46" s="542" t="s">
        <v>25</v>
      </c>
      <c r="AX46" s="43" t="s">
        <v>588</v>
      </c>
      <c r="AY46" s="8"/>
      <c r="AZ46" s="8"/>
      <c r="BB46" s="22"/>
    </row>
    <row r="47" spans="3:56" ht="27.95" customHeight="1" x14ac:dyDescent="0.35">
      <c r="C47" s="863" t="s">
        <v>721</v>
      </c>
      <c r="D47" s="666" t="e">
        <f>G44/G41</f>
        <v>#DIV/0!</v>
      </c>
      <c r="E47" s="666" t="e">
        <f>H44/H41</f>
        <v>#DIV/0!</v>
      </c>
      <c r="F47" s="1339" t="s">
        <v>752</v>
      </c>
      <c r="G47" s="879">
        <f>IFERROR(IF(D39&gt;0,Zuschlag!$B$28+Zuschlag!$B$29*D51+Zuschlag!$B$31*D52+Zuschlag!$B$30*D53,0),0)</f>
        <v>0</v>
      </c>
      <c r="H47" s="867"/>
      <c r="K47" s="660"/>
      <c r="L47" s="863" t="s">
        <v>713</v>
      </c>
      <c r="M47" s="864">
        <f>P43+Zuschlag!$B$36*M44+Zuschlag!$B$37*P45</f>
        <v>0</v>
      </c>
      <c r="N47" s="864">
        <f>Q43+Zuschlag!$B$36*N44+Zuschlag!$B$37*Q45</f>
        <v>0</v>
      </c>
      <c r="O47" s="865" t="s">
        <v>716</v>
      </c>
      <c r="P47" s="866">
        <f>M46/Zuschlag!$B$23</f>
        <v>0</v>
      </c>
      <c r="Q47" s="1342">
        <f>N46/Zuschlag!$B$23</f>
        <v>0</v>
      </c>
      <c r="R47" s="660"/>
      <c r="AF47" s="25"/>
      <c r="AG47" s="1716" t="s">
        <v>72</v>
      </c>
      <c r="AH47" s="1716"/>
      <c r="AI47" s="1716"/>
      <c r="AJ47" s="1716"/>
      <c r="AK47" s="1598" t="s">
        <v>11</v>
      </c>
      <c r="AL47" s="99"/>
      <c r="AM47" s="675"/>
      <c r="AO47" s="46"/>
      <c r="AP47" s="35"/>
      <c r="AQ47" s="195">
        <f>AQ48</f>
        <v>0.30000000000000004</v>
      </c>
      <c r="AR47" s="195">
        <f>AR48</f>
        <v>0.4</v>
      </c>
      <c r="AS47" s="195">
        <f>AS48</f>
        <v>0.4</v>
      </c>
      <c r="AT47" s="35"/>
      <c r="AU47" s="35"/>
      <c r="AV47" s="35"/>
      <c r="AW47" s="35"/>
      <c r="AX47" s="35"/>
      <c r="AY47" s="35"/>
      <c r="AZ47" s="46"/>
      <c r="BB47" s="22"/>
    </row>
    <row r="48" spans="3:56" ht="27.95" customHeight="1" thickBot="1" x14ac:dyDescent="0.4">
      <c r="C48" s="868"/>
      <c r="D48" s="378"/>
      <c r="E48" s="378"/>
      <c r="F48" s="1339" t="s">
        <v>753</v>
      </c>
      <c r="G48" s="879">
        <f>IFERROR(IF(E39&gt;0,Zuschlag!$B$28+Zuschlag!$B$29*E51+Zuschlag!$B$31*E52+Zuschlag!$B$30*E53,0),0)</f>
        <v>0</v>
      </c>
      <c r="H48" s="867"/>
      <c r="K48" s="660"/>
      <c r="L48" s="863" t="s">
        <v>714</v>
      </c>
      <c r="M48" s="864">
        <f>P45</f>
        <v>0</v>
      </c>
      <c r="N48" s="864">
        <f>Q45</f>
        <v>0</v>
      </c>
      <c r="O48" s="865" t="s">
        <v>717</v>
      </c>
      <c r="P48" s="866">
        <f>M47/Zuschlag!$B$24</f>
        <v>0</v>
      </c>
      <c r="Q48" s="1342">
        <f>N47/Zuschlag!$B$24</f>
        <v>0</v>
      </c>
      <c r="R48" s="660"/>
      <c r="AF48" s="25"/>
      <c r="AG48" s="94"/>
      <c r="AH48" s="94"/>
      <c r="AI48" s="94"/>
      <c r="AJ48" s="94"/>
      <c r="AK48" s="26"/>
      <c r="AL48" s="26"/>
      <c r="AM48" s="675"/>
      <c r="AO48" s="46" t="str">
        <f>Käsereien!AG25</f>
        <v>Allgemein</v>
      </c>
      <c r="AP48" s="547">
        <f>AW48/AX48</f>
        <v>0</v>
      </c>
      <c r="AQ48" s="196">
        <f>1.1-Grün</f>
        <v>0.30000000000000004</v>
      </c>
      <c r="AR48" s="196">
        <f>1.1-Rot-AQ48</f>
        <v>0.4</v>
      </c>
      <c r="AS48" s="196">
        <f>1.1-AQ48-AR48</f>
        <v>0.4</v>
      </c>
      <c r="AT48" s="202">
        <v>0.8</v>
      </c>
      <c r="AU48" s="550">
        <f>1*AT48</f>
        <v>0.8</v>
      </c>
      <c r="AV48" s="706">
        <f>AP48*AT48</f>
        <v>0</v>
      </c>
      <c r="AW48" s="544">
        <f>COUNTIF(AK26:AK31,"Ja")</f>
        <v>0</v>
      </c>
      <c r="AX48" s="407">
        <f>COUNTA(AK26:AK31)-COUNTIF(AK26:AK31,Milchverarbeitung!$AU$71)</f>
        <v>6</v>
      </c>
      <c r="AY48" s="35"/>
      <c r="AZ48" s="15"/>
      <c r="BB48" s="22"/>
    </row>
    <row r="49" spans="3:54" ht="27.95" customHeight="1" x14ac:dyDescent="0.35">
      <c r="C49" s="1132"/>
      <c r="D49" s="65"/>
      <c r="E49" s="65"/>
      <c r="F49" s="65"/>
      <c r="G49" s="65"/>
      <c r="H49" s="1357"/>
      <c r="K49" s="660"/>
      <c r="L49" s="868"/>
      <c r="M49" s="378"/>
      <c r="N49" s="65"/>
      <c r="O49" s="865" t="s">
        <v>718</v>
      </c>
      <c r="P49" s="866">
        <f>M48/Zuschlag!$B$21</f>
        <v>0</v>
      </c>
      <c r="Q49" s="1342">
        <f>N48/Zuschlag!$B$21</f>
        <v>0</v>
      </c>
      <c r="R49" s="660"/>
      <c r="AF49" s="48"/>
      <c r="AG49" s="1715" t="s">
        <v>192</v>
      </c>
      <c r="AH49" s="1715"/>
      <c r="AI49" s="1715"/>
      <c r="AJ49" s="1715"/>
      <c r="AK49" s="33"/>
      <c r="AL49" s="33"/>
      <c r="AM49" s="675"/>
      <c r="AO49" s="58" t="str">
        <f>Käsereien!AG33</f>
        <v>Wassersparmassnahmen</v>
      </c>
      <c r="AP49" s="547">
        <f t="shared" ref="AP49:AP52" si="3">AW49/AX49</f>
        <v>0</v>
      </c>
      <c r="AQ49" s="196">
        <f>1.1-Grün</f>
        <v>0.30000000000000004</v>
      </c>
      <c r="AR49" s="196">
        <f>1.1-Rot-AQ49</f>
        <v>0.4</v>
      </c>
      <c r="AS49" s="196">
        <f>1.1-AQ49-AR49</f>
        <v>0.4</v>
      </c>
      <c r="AT49" s="202">
        <v>1</v>
      </c>
      <c r="AU49" s="550">
        <f>1*AT49</f>
        <v>1</v>
      </c>
      <c r="AV49" s="706">
        <f>AP49*AT49</f>
        <v>0</v>
      </c>
      <c r="AW49" s="544">
        <f>COUNTIF(AK34:AK40,"Ja")</f>
        <v>0</v>
      </c>
      <c r="AX49" s="407">
        <f>COUNTA(AK34:AK40)-COUNTIF(AK34:AK40,Milchverarbeitung!$AU$71)</f>
        <v>7</v>
      </c>
      <c r="AY49" s="35"/>
      <c r="AZ49" s="15"/>
      <c r="BB49" s="22"/>
    </row>
    <row r="50" spans="3:54" ht="27.95" customHeight="1" x14ac:dyDescent="0.25">
      <c r="C50" s="1132"/>
      <c r="D50" s="869" t="s">
        <v>742</v>
      </c>
      <c r="E50" s="65"/>
      <c r="F50" s="65"/>
      <c r="G50" s="65"/>
      <c r="H50" s="1357"/>
      <c r="K50" s="660"/>
      <c r="L50" s="863" t="s">
        <v>719</v>
      </c>
      <c r="M50" s="666" t="e">
        <f>P47/P46</f>
        <v>#DIV/0!</v>
      </c>
      <c r="N50" s="666" t="e">
        <f>Q47/Q46</f>
        <v>#DIV/0!</v>
      </c>
      <c r="O50" s="378"/>
      <c r="P50" s="459"/>
      <c r="Q50" s="867"/>
      <c r="R50" s="660"/>
      <c r="AF50" s="25"/>
      <c r="AG50" s="1716" t="s">
        <v>65</v>
      </c>
      <c r="AH50" s="1716"/>
      <c r="AI50" s="1716"/>
      <c r="AJ50" s="1716"/>
      <c r="AK50" s="1598" t="s">
        <v>11</v>
      </c>
      <c r="AL50" s="99"/>
      <c r="AM50" s="675"/>
      <c r="AO50" s="46" t="str">
        <f>Käsereien!AG42</f>
        <v>Reinigung</v>
      </c>
      <c r="AP50" s="547">
        <f t="shared" si="3"/>
        <v>0</v>
      </c>
      <c r="AQ50" s="196">
        <f>1.1-Grün</f>
        <v>0.30000000000000004</v>
      </c>
      <c r="AR50" s="196">
        <f>1.1-Rot-AQ50</f>
        <v>0.4</v>
      </c>
      <c r="AS50" s="196">
        <f>1.1-AQ50-AR50</f>
        <v>0.4</v>
      </c>
      <c r="AT50" s="202">
        <v>1</v>
      </c>
      <c r="AU50" s="550">
        <f>1*AT50</f>
        <v>1</v>
      </c>
      <c r="AV50" s="706">
        <f>AP50*AT50</f>
        <v>0</v>
      </c>
      <c r="AW50" s="544">
        <f>COUNTIF(AK43:AK47,"Ja")</f>
        <v>0</v>
      </c>
      <c r="AX50" s="407">
        <f>COUNTA(AK43:AK47)-COUNTIF(AK43:AK47,Milchverarbeitung!$AU$71)</f>
        <v>5</v>
      </c>
      <c r="AY50" s="35"/>
      <c r="AZ50" s="15"/>
    </row>
    <row r="51" spans="3:54" ht="27.95" customHeight="1" x14ac:dyDescent="0.25">
      <c r="C51" s="1132"/>
      <c r="D51" s="666" t="e">
        <f t="shared" ref="D51:E53" si="4">IF(D45&lt;1,1,D45)</f>
        <v>#DIV/0!</v>
      </c>
      <c r="E51" s="666" t="e">
        <f t="shared" si="4"/>
        <v>#DIV/0!</v>
      </c>
      <c r="F51" s="65"/>
      <c r="G51" s="65"/>
      <c r="H51" s="1357"/>
      <c r="K51" s="660"/>
      <c r="L51" s="863" t="s">
        <v>720</v>
      </c>
      <c r="M51" s="666" t="e">
        <f>P48/P46</f>
        <v>#DIV/0!</v>
      </c>
      <c r="N51" s="666" t="e">
        <f>Q48/Q46</f>
        <v>#DIV/0!</v>
      </c>
      <c r="O51" s="378"/>
      <c r="P51" s="378"/>
      <c r="Q51" s="867"/>
      <c r="R51" s="660"/>
      <c r="AF51" s="25"/>
      <c r="AG51" s="1716" t="s">
        <v>64</v>
      </c>
      <c r="AH51" s="1716"/>
      <c r="AI51" s="1716"/>
      <c r="AJ51" s="1716"/>
      <c r="AK51" s="1598" t="s">
        <v>11</v>
      </c>
      <c r="AL51" s="99"/>
      <c r="AM51" s="675"/>
      <c r="AO51" s="46" t="str">
        <f>Käsereien!AG49</f>
        <v>Abwasserbelastung/Verluste</v>
      </c>
      <c r="AP51" s="547">
        <f t="shared" si="3"/>
        <v>0</v>
      </c>
      <c r="AQ51" s="196">
        <f>1.1-Grün</f>
        <v>0.30000000000000004</v>
      </c>
      <c r="AR51" s="196">
        <f>1.1-Rot-AQ51</f>
        <v>0.4</v>
      </c>
      <c r="AS51" s="196">
        <f>1.1-AQ51-AR51</f>
        <v>0.4</v>
      </c>
      <c r="AT51" s="202">
        <v>1</v>
      </c>
      <c r="AU51" s="550">
        <f>1*AT51</f>
        <v>1</v>
      </c>
      <c r="AV51" s="706">
        <f>AP51*AT51</f>
        <v>0</v>
      </c>
      <c r="AW51" s="544">
        <f>COUNTIF(AK50:AK56,"Ja")</f>
        <v>0</v>
      </c>
      <c r="AX51" s="407">
        <f>COUNTA(AK50:AK56)-COUNTIF(AK50:AK56,Milchverarbeitung!$AU$71)</f>
        <v>7</v>
      </c>
      <c r="AY51" s="35"/>
      <c r="AZ51" s="15"/>
    </row>
    <row r="52" spans="3:54" ht="27.95" customHeight="1" x14ac:dyDescent="0.25">
      <c r="C52" s="1132"/>
      <c r="D52" s="666" t="e">
        <f t="shared" si="4"/>
        <v>#DIV/0!</v>
      </c>
      <c r="E52" s="666" t="e">
        <f t="shared" si="4"/>
        <v>#DIV/0!</v>
      </c>
      <c r="F52" s="65"/>
      <c r="G52" s="65"/>
      <c r="H52" s="1357"/>
      <c r="K52" s="660"/>
      <c r="L52" s="863" t="s">
        <v>721</v>
      </c>
      <c r="M52" s="666" t="e">
        <f>P49/P46</f>
        <v>#DIV/0!</v>
      </c>
      <c r="N52" s="666" t="e">
        <f>Q49/Q46</f>
        <v>#DIV/0!</v>
      </c>
      <c r="O52" s="1339" t="s">
        <v>752</v>
      </c>
      <c r="P52" s="879">
        <f>IFERROR(IF(M44&gt;0,Zuschlag!$B$28+Zuschlag!$B$29*M56+Zuschlag!$B$31*M57+Zuschlag!$B$30*M58,0),0)</f>
        <v>0</v>
      </c>
      <c r="Q52" s="867"/>
      <c r="R52" s="660"/>
      <c r="AF52" s="25"/>
      <c r="AG52" s="1728" t="s">
        <v>62</v>
      </c>
      <c r="AH52" s="1728"/>
      <c r="AI52" s="1728"/>
      <c r="AJ52" s="1729"/>
      <c r="AK52" s="1598" t="s">
        <v>11</v>
      </c>
      <c r="AL52" s="99"/>
      <c r="AM52" s="675"/>
      <c r="AO52" s="46" t="str">
        <f>Käsereien!AG58</f>
        <v>Energieverbrauch</v>
      </c>
      <c r="AP52" s="547">
        <f t="shared" si="3"/>
        <v>0</v>
      </c>
      <c r="AQ52" s="196">
        <f>1.1-Grün</f>
        <v>0.30000000000000004</v>
      </c>
      <c r="AR52" s="196">
        <f>1.1-Rot-AQ52</f>
        <v>0.4</v>
      </c>
      <c r="AS52" s="196">
        <f>1.1-AQ52-AR52</f>
        <v>0.4</v>
      </c>
      <c r="AT52" s="202">
        <v>0.8</v>
      </c>
      <c r="AU52" s="550">
        <f>1*AT52</f>
        <v>0.8</v>
      </c>
      <c r="AV52" s="706">
        <f>AP52*AT52</f>
        <v>0</v>
      </c>
      <c r="AW52" s="544">
        <f>COUNTIF(AK59:AK63,"Ja")</f>
        <v>0</v>
      </c>
      <c r="AX52" s="407">
        <f>COUNTA(AK59:AK63)-COUNTIF(AK59:AK63,Milchverarbeitung!$AU$71)</f>
        <v>5</v>
      </c>
      <c r="AY52" s="35"/>
      <c r="AZ52" s="15"/>
    </row>
    <row r="53" spans="3:54" ht="27.95" customHeight="1" thickBot="1" x14ac:dyDescent="0.3">
      <c r="C53" s="1358"/>
      <c r="D53" s="886" t="e">
        <f t="shared" si="4"/>
        <v>#DIV/0!</v>
      </c>
      <c r="E53" s="886" t="e">
        <f t="shared" si="4"/>
        <v>#DIV/0!</v>
      </c>
      <c r="F53" s="1359"/>
      <c r="G53" s="1359"/>
      <c r="H53" s="1360"/>
      <c r="K53" s="660"/>
      <c r="L53" s="868"/>
      <c r="M53" s="378"/>
      <c r="N53" s="378"/>
      <c r="O53" s="1339" t="s">
        <v>753</v>
      </c>
      <c r="P53" s="879">
        <f>IFERROR(IF(N44&gt;0,Zuschlag!$B$28+Zuschlag!$B$29*N56+Zuschlag!$B$31*N57+Zuschlag!$B$30*N58,0),0)</f>
        <v>0</v>
      </c>
      <c r="Q53" s="867"/>
      <c r="R53" s="660"/>
      <c r="AF53" s="25"/>
      <c r="AG53" s="1716" t="s">
        <v>632</v>
      </c>
      <c r="AH53" s="1716"/>
      <c r="AI53" s="1716"/>
      <c r="AJ53" s="1730"/>
      <c r="AK53" s="1598" t="s">
        <v>11</v>
      </c>
      <c r="AL53" s="99"/>
      <c r="AM53" s="675"/>
      <c r="AO53" s="46"/>
      <c r="AP53" s="35"/>
      <c r="AQ53" s="195">
        <f>AQ52</f>
        <v>0.30000000000000004</v>
      </c>
      <c r="AR53" s="195">
        <f>AR52</f>
        <v>0.4</v>
      </c>
      <c r="AS53" s="195">
        <f>AS52</f>
        <v>0.4</v>
      </c>
      <c r="AT53" s="35"/>
      <c r="AU53" s="35"/>
      <c r="AV53" s="35"/>
      <c r="AW53" s="35"/>
      <c r="AX53" s="35"/>
      <c r="AY53" s="35"/>
      <c r="AZ53" s="46"/>
    </row>
    <row r="54" spans="3:54" ht="27.95" customHeight="1" x14ac:dyDescent="0.25">
      <c r="K54" s="660"/>
      <c r="L54" s="1132"/>
      <c r="M54" s="65"/>
      <c r="N54" s="65"/>
      <c r="O54" s="65"/>
      <c r="P54" s="65"/>
      <c r="Q54" s="1357"/>
      <c r="R54" s="660"/>
      <c r="AF54" s="25"/>
      <c r="AG54" s="1716" t="s">
        <v>121</v>
      </c>
      <c r="AH54" s="1716"/>
      <c r="AI54" s="1716"/>
      <c r="AJ54" s="1716"/>
      <c r="AK54" s="1598" t="s">
        <v>11</v>
      </c>
      <c r="AL54" s="99"/>
      <c r="AM54" s="675"/>
      <c r="AT54" s="55" t="s">
        <v>23</v>
      </c>
      <c r="AU54" s="707">
        <f>SUM(AU48:AU52)</f>
        <v>4.5999999999999996</v>
      </c>
      <c r="AV54" s="707">
        <f>SUM(AV48:AV52)</f>
        <v>0</v>
      </c>
      <c r="AW54" s="893">
        <f>SUM(AW48:AW52)</f>
        <v>0</v>
      </c>
      <c r="AX54" s="101"/>
      <c r="AY54" s="101"/>
    </row>
    <row r="55" spans="3:54" ht="27.95" customHeight="1" x14ac:dyDescent="0.25">
      <c r="K55" s="660"/>
      <c r="L55" s="1132"/>
      <c r="M55" s="869" t="s">
        <v>742</v>
      </c>
      <c r="N55" s="65"/>
      <c r="O55" s="65"/>
      <c r="P55" s="65"/>
      <c r="Q55" s="1357"/>
      <c r="R55" s="660"/>
      <c r="U55" s="10"/>
      <c r="V55" s="10"/>
      <c r="W55" s="10"/>
      <c r="X55" s="10"/>
      <c r="Y55" s="660"/>
      <c r="Z55" s="660"/>
      <c r="AA55" s="660"/>
      <c r="AB55" s="660"/>
      <c r="AC55" s="660"/>
      <c r="AD55" s="660"/>
      <c r="AE55" s="660"/>
      <c r="AF55" s="25"/>
      <c r="AG55" s="1716" t="s">
        <v>122</v>
      </c>
      <c r="AH55" s="1716"/>
      <c r="AI55" s="1716"/>
      <c r="AJ55" s="1716"/>
      <c r="AK55" s="1598" t="s">
        <v>11</v>
      </c>
      <c r="AL55" s="99"/>
      <c r="AM55" s="675"/>
      <c r="AT55" s="9" t="s">
        <v>21</v>
      </c>
      <c r="AU55" s="708"/>
      <c r="AV55" s="706">
        <f>AV54/AU54</f>
        <v>0</v>
      </c>
      <c r="AW55" s="708"/>
      <c r="AX55" s="105"/>
      <c r="AY55" s="105"/>
    </row>
    <row r="56" spans="3:54" ht="27.95" customHeight="1" x14ac:dyDescent="0.25">
      <c r="K56" s="660"/>
      <c r="L56" s="1132"/>
      <c r="M56" s="666" t="e">
        <f t="shared" ref="M56:N58" si="5">IF(M50&lt;1,1,M50)</f>
        <v>#DIV/0!</v>
      </c>
      <c r="N56" s="666" t="e">
        <f t="shared" si="5"/>
        <v>#DIV/0!</v>
      </c>
      <c r="O56" s="65"/>
      <c r="P56" s="65"/>
      <c r="Q56" s="1357"/>
      <c r="R56" s="660"/>
      <c r="U56" s="219"/>
      <c r="V56" s="219"/>
      <c r="W56" s="219"/>
      <c r="X56" s="219"/>
      <c r="Y56" s="683"/>
      <c r="Z56" s="683"/>
      <c r="AA56" s="683"/>
      <c r="AB56" s="683"/>
      <c r="AC56" s="683"/>
      <c r="AD56" s="683"/>
      <c r="AE56" s="683"/>
      <c r="AF56" s="25"/>
      <c r="AG56" s="1716" t="s">
        <v>119</v>
      </c>
      <c r="AH56" s="1716"/>
      <c r="AI56" s="1716"/>
      <c r="AJ56" s="1716"/>
      <c r="AK56" s="1598" t="s">
        <v>11</v>
      </c>
      <c r="AL56" s="99"/>
      <c r="AM56" s="675"/>
      <c r="AT56" s="107" t="s">
        <v>27</v>
      </c>
      <c r="AU56" s="709"/>
      <c r="AV56" s="708">
        <f>SUM(AX48:AX52)</f>
        <v>30</v>
      </c>
      <c r="AW56" s="710"/>
    </row>
    <row r="57" spans="3:54" ht="27.95" customHeight="1" thickBot="1" x14ac:dyDescent="0.3">
      <c r="J57" s="660"/>
      <c r="K57" s="660"/>
      <c r="L57" s="1132"/>
      <c r="M57" s="666" t="e">
        <f t="shared" si="5"/>
        <v>#DIV/0!</v>
      </c>
      <c r="N57" s="666" t="e">
        <f t="shared" si="5"/>
        <v>#DIV/0!</v>
      </c>
      <c r="O57" s="65"/>
      <c r="P57" s="65"/>
      <c r="Q57" s="1357"/>
      <c r="R57" s="660"/>
      <c r="U57" s="10"/>
      <c r="V57" s="10"/>
      <c r="W57" s="10"/>
      <c r="X57" s="10"/>
      <c r="Y57" s="660"/>
      <c r="Z57" s="660"/>
      <c r="AA57" s="660"/>
      <c r="AB57" s="660"/>
      <c r="AC57" s="660"/>
      <c r="AD57" s="660"/>
      <c r="AE57" s="660"/>
      <c r="AF57" s="25"/>
      <c r="AG57" s="94"/>
      <c r="AH57" s="94"/>
      <c r="AI57" s="94"/>
      <c r="AJ57" s="94"/>
      <c r="AK57" s="26"/>
      <c r="AL57" s="26"/>
      <c r="AM57" s="675"/>
      <c r="AW57" s="710"/>
    </row>
    <row r="58" spans="3:54" ht="27.95" customHeight="1" thickBot="1" x14ac:dyDescent="0.3">
      <c r="J58" s="660"/>
      <c r="K58" s="660"/>
      <c r="L58" s="1358"/>
      <c r="M58" s="886" t="e">
        <f t="shared" si="5"/>
        <v>#DIV/0!</v>
      </c>
      <c r="N58" s="886" t="e">
        <f t="shared" si="5"/>
        <v>#DIV/0!</v>
      </c>
      <c r="O58" s="1359"/>
      <c r="P58" s="1359"/>
      <c r="Q58" s="1360"/>
      <c r="R58" s="660"/>
      <c r="U58" s="40"/>
      <c r="V58" s="40"/>
      <c r="W58" s="40"/>
      <c r="X58" s="40"/>
      <c r="Y58" s="684"/>
      <c r="Z58" s="684"/>
      <c r="AA58" s="684"/>
      <c r="AB58" s="684"/>
      <c r="AC58" s="684"/>
      <c r="AD58" s="684"/>
      <c r="AE58" s="684"/>
      <c r="AF58" s="48"/>
      <c r="AG58" s="1715" t="s">
        <v>143</v>
      </c>
      <c r="AH58" s="1715"/>
      <c r="AI58" s="1715"/>
      <c r="AJ58" s="1715"/>
      <c r="AK58" s="33"/>
      <c r="AL58" s="33"/>
      <c r="AM58" s="675"/>
    </row>
    <row r="59" spans="3:54" ht="27.95" customHeight="1" x14ac:dyDescent="0.25">
      <c r="J59" s="660"/>
      <c r="K59" s="660"/>
      <c r="L59" s="660"/>
      <c r="M59" s="660"/>
      <c r="N59" s="660"/>
      <c r="O59" s="660"/>
      <c r="P59" s="660"/>
      <c r="Q59" s="660"/>
      <c r="R59" s="660"/>
      <c r="U59" s="40"/>
      <c r="V59" s="40"/>
      <c r="W59" s="40"/>
      <c r="X59" s="40"/>
      <c r="Y59" s="684"/>
      <c r="Z59" s="684"/>
      <c r="AA59" s="684"/>
      <c r="AB59" s="684"/>
      <c r="AC59" s="684"/>
      <c r="AD59" s="684"/>
      <c r="AE59" s="684"/>
      <c r="AF59" s="25"/>
      <c r="AG59" s="1716" t="s">
        <v>188</v>
      </c>
      <c r="AH59" s="1716"/>
      <c r="AI59" s="1716"/>
      <c r="AJ59" s="1716"/>
      <c r="AK59" s="1598" t="s">
        <v>11</v>
      </c>
      <c r="AL59" s="99"/>
      <c r="AM59" s="675"/>
    </row>
    <row r="60" spans="3:54" ht="27.95" customHeight="1" x14ac:dyDescent="0.25">
      <c r="J60" s="660"/>
      <c r="K60" s="660"/>
      <c r="L60" s="660"/>
      <c r="M60" s="660"/>
      <c r="N60" s="660"/>
      <c r="O60" s="660"/>
      <c r="P60" s="660"/>
      <c r="Q60" s="660"/>
      <c r="R60" s="660"/>
      <c r="U60" s="40"/>
      <c r="V60" s="40"/>
      <c r="W60" s="40"/>
      <c r="X60" s="40"/>
      <c r="Y60" s="684"/>
      <c r="Z60" s="684"/>
      <c r="AA60" s="684"/>
      <c r="AB60" s="684"/>
      <c r="AC60" s="684"/>
      <c r="AD60" s="684"/>
      <c r="AE60" s="684"/>
      <c r="AF60" s="25"/>
      <c r="AG60" s="1716" t="s">
        <v>189</v>
      </c>
      <c r="AH60" s="1716"/>
      <c r="AI60" s="1716"/>
      <c r="AJ60" s="1716"/>
      <c r="AK60" s="1598" t="s">
        <v>11</v>
      </c>
      <c r="AL60" s="99"/>
      <c r="AM60" s="675"/>
    </row>
    <row r="61" spans="3:54" ht="27.95" customHeight="1" x14ac:dyDescent="0.25">
      <c r="J61" s="660"/>
      <c r="K61" s="660"/>
      <c r="L61" s="660"/>
      <c r="M61" s="660"/>
      <c r="N61" s="660"/>
      <c r="O61" s="660"/>
      <c r="P61" s="660"/>
      <c r="Q61" s="660"/>
      <c r="R61" s="660"/>
      <c r="U61" s="40"/>
      <c r="V61" s="40"/>
      <c r="W61" s="40"/>
      <c r="X61" s="40"/>
      <c r="Y61" s="684"/>
      <c r="Z61" s="684"/>
      <c r="AA61" s="684"/>
      <c r="AB61" s="684"/>
      <c r="AC61" s="684"/>
      <c r="AD61" s="684"/>
      <c r="AE61" s="684"/>
      <c r="AF61" s="25"/>
      <c r="AG61" s="1716" t="s">
        <v>162</v>
      </c>
      <c r="AH61" s="1716"/>
      <c r="AI61" s="1716"/>
      <c r="AJ61" s="1716"/>
      <c r="AK61" s="1598" t="s">
        <v>11</v>
      </c>
      <c r="AL61" s="99"/>
      <c r="AM61" s="675"/>
    </row>
    <row r="62" spans="3:54" ht="27.95" customHeight="1" x14ac:dyDescent="0.25">
      <c r="J62" s="660"/>
      <c r="K62" s="660"/>
      <c r="L62" s="660"/>
      <c r="M62" s="660"/>
      <c r="N62" s="660"/>
      <c r="O62" s="660"/>
      <c r="P62" s="660"/>
      <c r="Q62" s="660"/>
      <c r="R62" s="660"/>
      <c r="U62" s="40"/>
      <c r="V62" s="40"/>
      <c r="W62" s="40"/>
      <c r="X62" s="40"/>
      <c r="Y62" s="684"/>
      <c r="Z62" s="684"/>
      <c r="AA62" s="684"/>
      <c r="AB62" s="684"/>
      <c r="AC62" s="684"/>
      <c r="AD62" s="684"/>
      <c r="AE62" s="684"/>
      <c r="AF62" s="25"/>
      <c r="AG62" s="1716" t="s">
        <v>613</v>
      </c>
      <c r="AH62" s="1716"/>
      <c r="AI62" s="1716"/>
      <c r="AJ62" s="1716"/>
      <c r="AK62" s="1598" t="s">
        <v>11</v>
      </c>
      <c r="AL62" s="99"/>
      <c r="AM62" s="675"/>
    </row>
    <row r="63" spans="3:54" ht="27.95" customHeight="1" x14ac:dyDescent="0.25">
      <c r="J63" s="660"/>
      <c r="K63" s="660"/>
      <c r="L63" s="660"/>
      <c r="M63" s="660"/>
      <c r="N63" s="660"/>
      <c r="O63" s="660"/>
      <c r="P63" s="660"/>
      <c r="Q63" s="660"/>
      <c r="R63" s="660"/>
      <c r="U63" s="40"/>
      <c r="V63" s="40"/>
      <c r="W63" s="40"/>
      <c r="X63" s="40"/>
      <c r="Y63" s="684"/>
      <c r="Z63" s="684"/>
      <c r="AA63" s="684"/>
      <c r="AB63" s="684"/>
      <c r="AC63" s="684"/>
      <c r="AD63" s="684"/>
      <c r="AE63" s="684"/>
      <c r="AF63" s="25"/>
      <c r="AG63" s="1716" t="s">
        <v>631</v>
      </c>
      <c r="AH63" s="1716"/>
      <c r="AI63" s="1716"/>
      <c r="AJ63" s="1716"/>
      <c r="AK63" s="1598" t="s">
        <v>11</v>
      </c>
      <c r="AL63" s="99"/>
      <c r="AM63" s="675"/>
    </row>
    <row r="64" spans="3:54" ht="27.95" customHeight="1" thickBot="1" x14ac:dyDescent="0.3">
      <c r="J64" s="660"/>
      <c r="K64" s="660"/>
      <c r="L64" s="660"/>
      <c r="M64" s="660"/>
      <c r="N64" s="660"/>
      <c r="O64" s="660"/>
      <c r="P64" s="660"/>
      <c r="Q64" s="660"/>
      <c r="R64" s="660"/>
      <c r="U64" s="40"/>
      <c r="V64" s="40"/>
      <c r="W64" s="40"/>
      <c r="X64" s="40"/>
      <c r="Y64" s="684"/>
      <c r="Z64" s="684"/>
      <c r="AA64" s="684"/>
      <c r="AB64" s="684"/>
      <c r="AC64" s="684"/>
      <c r="AD64" s="684"/>
      <c r="AE64" s="684"/>
      <c r="AF64" s="29"/>
      <c r="AG64" s="1727"/>
      <c r="AH64" s="1727"/>
      <c r="AI64" s="1727"/>
      <c r="AJ64" s="1727"/>
      <c r="AK64" s="678"/>
      <c r="AL64" s="678"/>
      <c r="AM64" s="679"/>
    </row>
    <row r="65" spans="10:52" ht="27.95" customHeight="1" x14ac:dyDescent="0.25">
      <c r="J65" s="660"/>
      <c r="K65" s="660"/>
      <c r="L65" s="660"/>
      <c r="M65" s="660"/>
      <c r="N65" s="660"/>
      <c r="O65" s="660"/>
      <c r="P65" s="660"/>
      <c r="Q65" s="660"/>
      <c r="R65" s="660"/>
      <c r="U65" s="40"/>
      <c r="V65" s="40"/>
      <c r="W65" s="40"/>
      <c r="X65" s="40"/>
      <c r="Y65" s="684"/>
      <c r="Z65" s="684"/>
      <c r="AA65" s="684"/>
      <c r="AB65" s="684"/>
      <c r="AC65" s="684"/>
      <c r="AD65" s="684"/>
      <c r="AE65" s="684"/>
      <c r="AF65" s="660"/>
      <c r="AG65" s="716"/>
      <c r="AH65" s="660"/>
      <c r="AI65" s="660"/>
      <c r="AJ65" s="660"/>
      <c r="AK65" s="660"/>
      <c r="AL65" s="660"/>
      <c r="AM65" s="660"/>
    </row>
    <row r="66" spans="10:52" ht="27.95" hidden="1" customHeight="1" x14ac:dyDescent="0.25">
      <c r="J66" s="660"/>
      <c r="K66" s="660"/>
      <c r="L66" s="660"/>
      <c r="M66" s="660"/>
      <c r="N66" s="660"/>
      <c r="O66" s="660"/>
      <c r="P66" s="660"/>
      <c r="Q66" s="660"/>
      <c r="R66" s="660"/>
      <c r="U66" s="10"/>
      <c r="V66" s="10"/>
      <c r="W66" s="10"/>
      <c r="X66" s="10"/>
      <c r="Y66" s="660"/>
      <c r="Z66" s="660"/>
      <c r="AA66" s="660"/>
      <c r="AB66" s="660"/>
      <c r="AC66" s="660"/>
      <c r="AD66" s="660"/>
      <c r="AE66" s="660"/>
      <c r="AF66" s="310"/>
      <c r="AG66" s="310"/>
      <c r="AH66" s="310"/>
      <c r="AI66" s="310"/>
      <c r="AJ66" s="717"/>
      <c r="AK66" s="660"/>
      <c r="AL66" s="660"/>
      <c r="AM66" s="310"/>
    </row>
    <row r="67" spans="10:52" ht="27.95" hidden="1" customHeight="1" x14ac:dyDescent="0.25">
      <c r="J67" s="660"/>
      <c r="K67" s="660"/>
      <c r="L67" s="660"/>
      <c r="M67" s="660"/>
      <c r="N67" s="660"/>
      <c r="O67" s="660"/>
      <c r="P67" s="660"/>
      <c r="Q67" s="660"/>
      <c r="R67" s="660"/>
      <c r="U67" s="10"/>
      <c r="V67" s="10"/>
      <c r="W67" s="10"/>
      <c r="X67" s="10"/>
      <c r="Y67" s="660"/>
      <c r="Z67" s="660"/>
      <c r="AA67" s="660"/>
      <c r="AB67" s="660"/>
      <c r="AC67" s="660"/>
      <c r="AD67" s="660"/>
      <c r="AE67" s="660"/>
      <c r="AF67" s="310"/>
      <c r="AG67" s="205"/>
      <c r="AH67" s="205"/>
      <c r="AI67" s="310"/>
      <c r="AJ67" s="663"/>
      <c r="AK67" s="663"/>
      <c r="AL67" s="663"/>
      <c r="AM67" s="663"/>
    </row>
    <row r="68" spans="10:52" ht="27.95" hidden="1" customHeight="1" x14ac:dyDescent="0.25">
      <c r="K68" s="660"/>
      <c r="L68" s="660"/>
      <c r="M68" s="660"/>
      <c r="N68" s="660"/>
      <c r="O68" s="660"/>
      <c r="P68" s="660"/>
      <c r="Q68" s="660"/>
      <c r="R68" s="660"/>
      <c r="U68" s="40"/>
      <c r="V68" s="40"/>
      <c r="W68" s="40"/>
      <c r="X68" s="40"/>
      <c r="Y68" s="684"/>
      <c r="Z68" s="684"/>
      <c r="AA68" s="684"/>
      <c r="AB68" s="684"/>
      <c r="AC68" s="684"/>
      <c r="AD68" s="684"/>
      <c r="AE68" s="684"/>
      <c r="AF68" s="310"/>
      <c r="AG68" s="310"/>
      <c r="AH68" s="310"/>
      <c r="AI68" s="310"/>
      <c r="AJ68" s="660"/>
      <c r="AK68" s="660"/>
      <c r="AL68" s="660"/>
      <c r="AM68" s="310"/>
    </row>
    <row r="69" spans="10:52" ht="27.95" hidden="1" customHeight="1" x14ac:dyDescent="0.25">
      <c r="K69" s="660"/>
      <c r="L69" s="660"/>
      <c r="M69" s="660"/>
      <c r="N69" s="660"/>
      <c r="O69" s="660"/>
      <c r="P69" s="660"/>
      <c r="Q69" s="660"/>
      <c r="R69" s="660"/>
      <c r="U69" s="40"/>
      <c r="V69" s="40"/>
      <c r="W69" s="40"/>
      <c r="X69" s="40"/>
      <c r="Y69" s="684"/>
      <c r="Z69" s="684"/>
      <c r="AA69" s="684"/>
      <c r="AB69" s="684"/>
      <c r="AC69" s="684"/>
      <c r="AD69" s="684"/>
      <c r="AE69" s="684"/>
    </row>
    <row r="70" spans="10:52" ht="27.95" hidden="1" customHeight="1" x14ac:dyDescent="0.25">
      <c r="K70" s="660"/>
      <c r="L70" s="660"/>
      <c r="M70" s="660"/>
      <c r="N70" s="660"/>
      <c r="O70" s="660"/>
      <c r="P70" s="660"/>
      <c r="Q70" s="660"/>
      <c r="R70" s="660"/>
      <c r="U70" s="40"/>
      <c r="V70" s="40"/>
      <c r="W70" s="40"/>
      <c r="X70" s="40"/>
      <c r="Y70" s="684"/>
      <c r="Z70" s="684"/>
      <c r="AA70" s="684"/>
      <c r="AB70" s="684"/>
      <c r="AC70" s="684"/>
      <c r="AD70" s="684"/>
      <c r="AE70" s="684"/>
    </row>
    <row r="71" spans="10:52" s="96" customFormat="1" ht="27.95" hidden="1" customHeight="1" x14ac:dyDescent="0.2">
      <c r="J71" s="662"/>
      <c r="K71" s="680"/>
      <c r="L71" s="680"/>
      <c r="M71" s="680"/>
      <c r="N71" s="680"/>
      <c r="O71" s="680"/>
      <c r="P71" s="680"/>
      <c r="Q71" s="680"/>
      <c r="R71" s="680"/>
      <c r="U71" s="40"/>
      <c r="V71" s="40"/>
      <c r="W71" s="40"/>
      <c r="X71" s="40"/>
      <c r="Y71" s="684"/>
      <c r="Z71" s="684"/>
      <c r="AA71" s="684"/>
      <c r="AB71" s="684"/>
      <c r="AC71" s="684"/>
      <c r="AD71" s="684"/>
      <c r="AE71" s="684"/>
      <c r="AP71" s="10"/>
      <c r="AQ71" s="10"/>
      <c r="AR71" s="10"/>
      <c r="AS71" s="10"/>
      <c r="AT71" s="10"/>
      <c r="AU71" s="10"/>
      <c r="AV71" s="10"/>
      <c r="AW71" s="10"/>
      <c r="AX71" s="10"/>
      <c r="AY71" s="10"/>
      <c r="AZ71" s="10"/>
    </row>
    <row r="72" spans="10:52" ht="27.95" hidden="1" customHeight="1" x14ac:dyDescent="0.25">
      <c r="K72" s="660"/>
      <c r="L72" s="660"/>
      <c r="M72" s="660"/>
      <c r="N72" s="660"/>
      <c r="O72" s="660"/>
      <c r="P72" s="660"/>
      <c r="Q72" s="660"/>
      <c r="R72" s="660"/>
      <c r="U72" s="40"/>
      <c r="V72" s="40"/>
      <c r="W72" s="40"/>
      <c r="X72" s="40"/>
      <c r="Y72" s="684"/>
      <c r="Z72" s="684"/>
      <c r="AA72" s="684"/>
      <c r="AB72" s="684"/>
      <c r="AC72" s="684"/>
      <c r="AD72" s="684"/>
      <c r="AE72" s="684"/>
      <c r="AF72" s="684"/>
      <c r="AG72" s="684"/>
      <c r="AH72" s="684"/>
      <c r="AI72" s="684"/>
      <c r="AJ72" s="684"/>
      <c r="AK72" s="684"/>
      <c r="AL72" s="684"/>
      <c r="AM72" s="684"/>
      <c r="AP72" s="96"/>
      <c r="AQ72" s="96"/>
      <c r="AR72" s="96"/>
      <c r="AS72" s="96"/>
      <c r="AT72" s="96"/>
      <c r="AU72" s="96"/>
      <c r="AV72" s="96"/>
      <c r="AW72" s="96"/>
      <c r="AX72" s="96"/>
      <c r="AY72" s="96"/>
      <c r="AZ72" s="96"/>
    </row>
    <row r="73" spans="10:52" ht="27.95" hidden="1" customHeight="1" x14ac:dyDescent="0.25">
      <c r="K73" s="660"/>
      <c r="L73" s="660"/>
      <c r="M73" s="660"/>
      <c r="N73" s="660"/>
      <c r="O73" s="660"/>
      <c r="P73" s="660"/>
      <c r="Q73" s="660"/>
      <c r="R73" s="660"/>
      <c r="U73" s="40"/>
      <c r="V73" s="40"/>
      <c r="W73" s="40"/>
      <c r="X73" s="40"/>
      <c r="Y73" s="684"/>
      <c r="Z73" s="684"/>
      <c r="AA73" s="684"/>
      <c r="AB73" s="684"/>
      <c r="AC73" s="684"/>
      <c r="AD73" s="684"/>
      <c r="AE73" s="684"/>
      <c r="AF73" s="684"/>
      <c r="AG73" s="684"/>
      <c r="AH73" s="684"/>
      <c r="AI73" s="684"/>
      <c r="AJ73" s="684"/>
      <c r="AK73" s="684"/>
      <c r="AL73" s="684"/>
      <c r="AM73" s="684"/>
    </row>
    <row r="74" spans="10:52" ht="27.95" hidden="1" customHeight="1" x14ac:dyDescent="0.25">
      <c r="K74" s="660"/>
      <c r="L74" s="660"/>
      <c r="M74" s="660"/>
      <c r="N74" s="660"/>
      <c r="O74" s="660"/>
      <c r="P74" s="660"/>
      <c r="Q74" s="660"/>
      <c r="R74" s="660"/>
      <c r="U74" s="40"/>
      <c r="V74" s="40"/>
      <c r="W74" s="40"/>
      <c r="X74" s="40"/>
      <c r="Y74" s="684"/>
      <c r="Z74" s="684"/>
      <c r="AA74" s="684"/>
      <c r="AB74" s="684"/>
      <c r="AC74" s="684"/>
      <c r="AD74" s="684"/>
      <c r="AE74" s="684"/>
      <c r="AF74" s="684"/>
      <c r="AG74" s="684"/>
      <c r="AH74" s="684"/>
      <c r="AI74" s="684"/>
      <c r="AJ74" s="684"/>
      <c r="AK74" s="684"/>
      <c r="AL74" s="684"/>
      <c r="AM74" s="684"/>
    </row>
    <row r="75" spans="10:52" ht="27.95" hidden="1" customHeight="1" x14ac:dyDescent="0.25">
      <c r="K75" s="660"/>
      <c r="L75" s="660"/>
      <c r="M75" s="660"/>
      <c r="N75" s="660"/>
      <c r="O75" s="660"/>
      <c r="P75" s="660"/>
      <c r="Q75" s="660"/>
      <c r="R75" s="660"/>
      <c r="U75" s="10"/>
      <c r="V75" s="10"/>
      <c r="W75" s="10"/>
      <c r="X75" s="10"/>
      <c r="Y75" s="660"/>
      <c r="Z75" s="660"/>
      <c r="AA75" s="660"/>
      <c r="AB75" s="660"/>
      <c r="AC75" s="660"/>
      <c r="AD75" s="660"/>
      <c r="AE75" s="660"/>
      <c r="AF75" s="684"/>
      <c r="AG75" s="684"/>
      <c r="AH75" s="684"/>
      <c r="AI75" s="684"/>
      <c r="AJ75" s="684"/>
      <c r="AK75" s="684"/>
      <c r="AL75" s="684"/>
      <c r="AM75" s="684"/>
    </row>
    <row r="76" spans="10:52" ht="27.95" hidden="1" customHeight="1" x14ac:dyDescent="0.25">
      <c r="J76" s="660"/>
      <c r="K76" s="660"/>
      <c r="L76" s="660"/>
      <c r="M76" s="660"/>
      <c r="N76" s="660"/>
      <c r="O76" s="660"/>
      <c r="P76" s="660"/>
      <c r="Q76" s="660"/>
      <c r="R76" s="660"/>
      <c r="U76" s="10"/>
      <c r="V76" s="10"/>
      <c r="W76" s="10"/>
      <c r="X76" s="10"/>
      <c r="Y76" s="660"/>
      <c r="Z76" s="660"/>
      <c r="AA76" s="660"/>
      <c r="AB76" s="660"/>
      <c r="AC76" s="660"/>
      <c r="AD76" s="660"/>
      <c r="AE76" s="660"/>
      <c r="AF76" s="684"/>
      <c r="AG76" s="684"/>
      <c r="AH76" s="684"/>
      <c r="AI76" s="684"/>
      <c r="AJ76" s="684"/>
      <c r="AK76" s="684"/>
      <c r="AL76" s="684"/>
      <c r="AM76" s="684"/>
    </row>
    <row r="77" spans="10:52" ht="27.95" hidden="1" customHeight="1" x14ac:dyDescent="0.25">
      <c r="K77" s="660"/>
      <c r="L77" s="660"/>
      <c r="M77" s="660"/>
      <c r="N77" s="660"/>
      <c r="O77" s="660"/>
      <c r="P77" s="660"/>
      <c r="Q77" s="660"/>
      <c r="R77" s="660"/>
      <c r="U77" s="40"/>
      <c r="V77" s="40"/>
      <c r="W77" s="40"/>
      <c r="X77" s="40"/>
      <c r="Y77" s="684"/>
      <c r="Z77" s="684"/>
      <c r="AA77" s="684"/>
      <c r="AB77" s="684"/>
      <c r="AC77" s="684"/>
      <c r="AD77" s="684"/>
      <c r="AE77" s="684"/>
      <c r="AF77" s="684"/>
      <c r="AG77" s="684"/>
      <c r="AH77" s="684"/>
      <c r="AI77" s="684"/>
      <c r="AJ77" s="684"/>
      <c r="AK77" s="684"/>
      <c r="AL77" s="684"/>
      <c r="AM77" s="684"/>
    </row>
    <row r="78" spans="10:52" ht="27.95" hidden="1" customHeight="1" x14ac:dyDescent="0.25">
      <c r="K78" s="660"/>
      <c r="L78" s="660"/>
      <c r="M78" s="660"/>
      <c r="N78" s="660"/>
      <c r="O78" s="660"/>
      <c r="P78" s="660"/>
      <c r="Q78" s="660"/>
      <c r="R78" s="660"/>
      <c r="U78" s="40"/>
      <c r="V78" s="40"/>
      <c r="W78" s="40"/>
      <c r="X78" s="40"/>
      <c r="Y78" s="684"/>
      <c r="Z78" s="684"/>
      <c r="AA78" s="684"/>
      <c r="AB78" s="684"/>
      <c r="AC78" s="684"/>
      <c r="AD78" s="684"/>
      <c r="AE78" s="684"/>
      <c r="AF78" s="660"/>
      <c r="AG78" s="660"/>
      <c r="AH78" s="660"/>
      <c r="AI78" s="660"/>
      <c r="AJ78" s="660"/>
      <c r="AK78" s="660"/>
      <c r="AL78" s="660"/>
      <c r="AM78" s="660"/>
    </row>
    <row r="79" spans="10:52" ht="27.95" hidden="1" customHeight="1" x14ac:dyDescent="0.25">
      <c r="K79" s="660"/>
      <c r="L79" s="660"/>
      <c r="M79" s="660"/>
      <c r="N79" s="660"/>
      <c r="O79" s="660"/>
      <c r="P79" s="660"/>
      <c r="Q79" s="660"/>
      <c r="R79" s="660"/>
      <c r="U79" s="40"/>
      <c r="V79" s="40"/>
      <c r="W79" s="40"/>
      <c r="X79" s="40"/>
      <c r="Y79" s="684"/>
      <c r="Z79" s="684"/>
      <c r="AA79" s="684"/>
      <c r="AB79" s="684"/>
      <c r="AC79" s="684"/>
      <c r="AD79" s="684"/>
      <c r="AE79" s="684"/>
      <c r="AF79" s="660"/>
      <c r="AG79" s="660"/>
      <c r="AH79" s="660"/>
      <c r="AI79" s="660"/>
      <c r="AJ79" s="660"/>
      <c r="AK79" s="660"/>
      <c r="AL79" s="660"/>
      <c r="AM79" s="660"/>
    </row>
    <row r="80" spans="10:52" ht="27.95" hidden="1" customHeight="1" x14ac:dyDescent="0.25">
      <c r="K80" s="660"/>
      <c r="L80" s="660"/>
      <c r="M80" s="660"/>
      <c r="N80" s="660"/>
      <c r="O80" s="660"/>
      <c r="P80" s="660"/>
      <c r="Q80" s="660"/>
      <c r="R80" s="660"/>
      <c r="U80" s="40"/>
      <c r="V80" s="40"/>
      <c r="W80" s="40"/>
      <c r="X80" s="40"/>
      <c r="Y80" s="684"/>
      <c r="Z80" s="684"/>
      <c r="AA80" s="684"/>
      <c r="AB80" s="684"/>
      <c r="AC80" s="684"/>
      <c r="AD80" s="684"/>
      <c r="AE80" s="684"/>
      <c r="AF80" s="684"/>
      <c r="AG80" s="684"/>
      <c r="AH80" s="684"/>
      <c r="AI80" s="684"/>
      <c r="AJ80" s="684"/>
      <c r="AK80" s="684"/>
      <c r="AL80" s="684"/>
      <c r="AM80" s="684"/>
    </row>
    <row r="81" spans="10:39" ht="27.95" hidden="1" customHeight="1" x14ac:dyDescent="0.25">
      <c r="K81" s="660"/>
      <c r="L81" s="660"/>
      <c r="M81" s="660"/>
      <c r="N81" s="660"/>
      <c r="O81" s="660"/>
      <c r="P81" s="660"/>
      <c r="Q81" s="660"/>
      <c r="R81" s="660"/>
      <c r="U81" s="40"/>
      <c r="V81" s="40"/>
      <c r="W81" s="40"/>
      <c r="X81" s="40"/>
      <c r="Y81" s="684"/>
      <c r="Z81" s="684"/>
      <c r="AA81" s="684"/>
      <c r="AB81" s="684"/>
      <c r="AC81" s="684"/>
      <c r="AD81" s="684"/>
      <c r="AE81" s="684"/>
      <c r="AF81" s="684"/>
      <c r="AG81" s="684"/>
      <c r="AH81" s="684"/>
      <c r="AI81" s="684"/>
      <c r="AJ81" s="684"/>
      <c r="AK81" s="684"/>
      <c r="AL81" s="684"/>
      <c r="AM81" s="684"/>
    </row>
    <row r="82" spans="10:39" ht="27.95" hidden="1" customHeight="1" x14ac:dyDescent="0.25">
      <c r="K82" s="660"/>
      <c r="L82" s="660"/>
      <c r="M82" s="660"/>
      <c r="N82" s="660"/>
      <c r="O82" s="660"/>
      <c r="P82" s="660"/>
      <c r="Q82" s="660"/>
      <c r="R82" s="660"/>
      <c r="U82" s="10"/>
      <c r="V82" s="10"/>
      <c r="W82" s="10"/>
      <c r="X82" s="10"/>
      <c r="Y82" s="660"/>
      <c r="Z82" s="660"/>
      <c r="AA82" s="660"/>
      <c r="AB82" s="660"/>
      <c r="AC82" s="660"/>
      <c r="AD82" s="660"/>
      <c r="AE82" s="660"/>
      <c r="AF82" s="684"/>
      <c r="AG82" s="684"/>
      <c r="AH82" s="684"/>
      <c r="AI82" s="684"/>
      <c r="AJ82" s="684"/>
      <c r="AK82" s="684"/>
      <c r="AL82" s="684"/>
      <c r="AM82" s="684"/>
    </row>
    <row r="83" spans="10:39" ht="27.95" hidden="1" customHeight="1" x14ac:dyDescent="0.25">
      <c r="J83" s="660"/>
      <c r="K83" s="660"/>
      <c r="L83" s="660"/>
      <c r="M83" s="660"/>
      <c r="N83" s="660"/>
      <c r="O83" s="660"/>
      <c r="P83" s="660"/>
      <c r="Q83" s="660"/>
      <c r="R83" s="660"/>
      <c r="U83" s="10"/>
      <c r="V83" s="10"/>
      <c r="W83" s="10"/>
      <c r="X83" s="10"/>
      <c r="Y83" s="660"/>
      <c r="Z83" s="660"/>
      <c r="AA83" s="660"/>
      <c r="AB83" s="660"/>
      <c r="AC83" s="660"/>
      <c r="AD83" s="660"/>
      <c r="AE83" s="660"/>
      <c r="AF83" s="684"/>
      <c r="AG83" s="684"/>
      <c r="AH83" s="684"/>
      <c r="AI83" s="684"/>
      <c r="AJ83" s="684"/>
      <c r="AK83" s="684"/>
      <c r="AL83" s="684"/>
      <c r="AM83" s="684"/>
    </row>
    <row r="84" spans="10:39" ht="27.95" hidden="1" customHeight="1" x14ac:dyDescent="0.25">
      <c r="K84" s="660"/>
      <c r="L84" s="660"/>
      <c r="M84" s="660"/>
      <c r="N84" s="660"/>
      <c r="O84" s="660"/>
      <c r="P84" s="660"/>
      <c r="Q84" s="660"/>
      <c r="R84" s="660"/>
      <c r="U84" s="40"/>
      <c r="V84" s="40"/>
      <c r="W84" s="40"/>
      <c r="X84" s="40"/>
      <c r="Y84" s="684"/>
      <c r="Z84" s="684"/>
      <c r="AA84" s="684"/>
      <c r="AB84" s="684"/>
      <c r="AC84" s="684"/>
      <c r="AD84" s="684"/>
      <c r="AE84" s="684"/>
      <c r="AF84" s="684"/>
      <c r="AG84" s="684"/>
      <c r="AH84" s="684"/>
      <c r="AI84" s="684"/>
      <c r="AJ84" s="684"/>
      <c r="AK84" s="684"/>
      <c r="AL84" s="684"/>
      <c r="AM84" s="684"/>
    </row>
    <row r="85" spans="10:39" ht="27.95" hidden="1" customHeight="1" x14ac:dyDescent="0.25">
      <c r="K85" s="660"/>
      <c r="L85" s="660"/>
      <c r="M85" s="660"/>
      <c r="N85" s="660"/>
      <c r="O85" s="660"/>
      <c r="P85" s="660"/>
      <c r="Q85" s="660"/>
      <c r="R85" s="660"/>
      <c r="U85" s="40"/>
      <c r="V85" s="40"/>
      <c r="W85" s="40"/>
      <c r="X85" s="40"/>
      <c r="Y85" s="684"/>
      <c r="Z85" s="684"/>
      <c r="AA85" s="684"/>
      <c r="AB85" s="684"/>
      <c r="AC85" s="684"/>
      <c r="AD85" s="684"/>
      <c r="AE85" s="684"/>
      <c r="AF85" s="684"/>
      <c r="AG85" s="684"/>
      <c r="AH85" s="684"/>
      <c r="AI85" s="684"/>
      <c r="AJ85" s="684"/>
      <c r="AK85" s="684"/>
      <c r="AL85" s="684"/>
      <c r="AM85" s="684"/>
    </row>
    <row r="86" spans="10:39" ht="27.95" hidden="1" customHeight="1" x14ac:dyDescent="0.25">
      <c r="K86" s="660"/>
      <c r="L86" s="660"/>
      <c r="M86" s="660"/>
      <c r="N86" s="660"/>
      <c r="O86" s="660"/>
      <c r="P86" s="660"/>
      <c r="Q86" s="660"/>
      <c r="R86" s="660"/>
      <c r="U86" s="40"/>
      <c r="V86" s="40"/>
      <c r="W86" s="40"/>
      <c r="X86" s="40"/>
      <c r="Y86" s="684"/>
      <c r="Z86" s="684"/>
      <c r="AA86" s="684"/>
      <c r="AB86" s="684"/>
      <c r="AC86" s="684"/>
      <c r="AD86" s="684"/>
      <c r="AE86" s="684"/>
      <c r="AF86" s="684"/>
      <c r="AG86" s="684"/>
      <c r="AH86" s="684"/>
      <c r="AI86" s="684"/>
      <c r="AJ86" s="684"/>
      <c r="AK86" s="684"/>
      <c r="AL86" s="684"/>
      <c r="AM86" s="684"/>
    </row>
    <row r="87" spans="10:39" ht="27.95" hidden="1" customHeight="1" x14ac:dyDescent="0.25">
      <c r="K87" s="660"/>
      <c r="L87" s="660"/>
      <c r="M87" s="660"/>
      <c r="N87" s="660"/>
      <c r="O87" s="660"/>
      <c r="P87" s="660"/>
      <c r="Q87" s="660"/>
      <c r="R87" s="660"/>
      <c r="U87" s="40"/>
      <c r="V87" s="40"/>
      <c r="W87" s="40"/>
      <c r="X87" s="40"/>
      <c r="Y87" s="684"/>
      <c r="Z87" s="684"/>
      <c r="AA87" s="684"/>
      <c r="AB87" s="684"/>
      <c r="AC87" s="684"/>
      <c r="AD87" s="684"/>
      <c r="AE87" s="684"/>
      <c r="AF87" s="660"/>
      <c r="AG87" s="660"/>
      <c r="AH87" s="660"/>
      <c r="AI87" s="660"/>
      <c r="AJ87" s="660"/>
      <c r="AK87" s="660"/>
      <c r="AL87" s="660"/>
      <c r="AM87" s="660"/>
    </row>
    <row r="88" spans="10:39" ht="27.95" hidden="1" customHeight="1" x14ac:dyDescent="0.25">
      <c r="K88" s="660"/>
      <c r="L88" s="660"/>
      <c r="M88" s="660"/>
      <c r="N88" s="660"/>
      <c r="O88" s="660"/>
      <c r="P88" s="660"/>
      <c r="Q88" s="660"/>
      <c r="R88" s="660"/>
      <c r="U88" s="40"/>
      <c r="V88" s="40"/>
      <c r="W88" s="40"/>
      <c r="X88" s="40"/>
      <c r="Y88" s="684"/>
      <c r="Z88" s="684"/>
      <c r="AA88" s="684"/>
      <c r="AB88" s="684"/>
      <c r="AC88" s="684"/>
      <c r="AD88" s="684"/>
      <c r="AE88" s="684"/>
      <c r="AF88" s="660"/>
      <c r="AG88" s="660"/>
      <c r="AH88" s="660"/>
      <c r="AI88" s="660"/>
      <c r="AJ88" s="660"/>
      <c r="AK88" s="660"/>
      <c r="AL88" s="660"/>
      <c r="AM88" s="660"/>
    </row>
    <row r="89" spans="10:39" ht="27.95" hidden="1" customHeight="1" x14ac:dyDescent="0.25">
      <c r="K89" s="660"/>
      <c r="L89" s="660"/>
      <c r="M89" s="660"/>
      <c r="N89" s="660"/>
      <c r="O89" s="660"/>
      <c r="P89" s="660"/>
      <c r="Q89" s="660"/>
      <c r="R89" s="660"/>
      <c r="U89" s="40"/>
      <c r="V89" s="40"/>
      <c r="W89" s="40"/>
      <c r="X89" s="40"/>
      <c r="Y89" s="684"/>
      <c r="Z89" s="684"/>
      <c r="AA89" s="684"/>
      <c r="AB89" s="684"/>
      <c r="AC89" s="684"/>
      <c r="AD89" s="684"/>
      <c r="AE89" s="684"/>
      <c r="AF89" s="684"/>
      <c r="AG89" s="684"/>
      <c r="AH89" s="684"/>
      <c r="AI89" s="684"/>
      <c r="AJ89" s="684"/>
      <c r="AK89" s="684"/>
      <c r="AL89" s="684"/>
      <c r="AM89" s="684"/>
    </row>
    <row r="90" spans="10:39" ht="27.95" hidden="1" customHeight="1" x14ac:dyDescent="0.25">
      <c r="K90" s="660"/>
      <c r="L90" s="660"/>
      <c r="M90" s="660"/>
      <c r="N90" s="660"/>
      <c r="O90" s="660"/>
      <c r="P90" s="660"/>
      <c r="Q90" s="660"/>
      <c r="R90" s="660"/>
      <c r="U90" s="40"/>
      <c r="V90" s="40"/>
      <c r="W90" s="40"/>
      <c r="X90" s="40"/>
      <c r="Y90" s="684"/>
      <c r="Z90" s="684"/>
      <c r="AA90" s="684"/>
      <c r="AB90" s="684"/>
      <c r="AC90" s="684"/>
      <c r="AD90" s="684"/>
      <c r="AE90" s="684"/>
      <c r="AF90" s="684"/>
      <c r="AG90" s="684"/>
      <c r="AH90" s="684"/>
      <c r="AI90" s="684"/>
      <c r="AJ90" s="684"/>
      <c r="AK90" s="684"/>
      <c r="AL90" s="684"/>
      <c r="AM90" s="684"/>
    </row>
    <row r="91" spans="10:39" ht="27.95" hidden="1" customHeight="1" x14ac:dyDescent="0.25">
      <c r="K91" s="660"/>
      <c r="L91" s="660"/>
      <c r="M91" s="660"/>
      <c r="N91" s="660"/>
      <c r="O91" s="660"/>
      <c r="P91" s="660"/>
      <c r="Q91" s="660"/>
      <c r="R91" s="660"/>
      <c r="U91" s="10"/>
      <c r="V91" s="10"/>
      <c r="W91" s="10"/>
      <c r="X91" s="10"/>
      <c r="Y91" s="660"/>
      <c r="Z91" s="660"/>
      <c r="AA91" s="660"/>
      <c r="AB91" s="660"/>
      <c r="AC91" s="660"/>
      <c r="AD91" s="660"/>
      <c r="AE91" s="660"/>
      <c r="AF91" s="684"/>
      <c r="AG91" s="684"/>
      <c r="AH91" s="684"/>
      <c r="AI91" s="684"/>
      <c r="AJ91" s="684"/>
      <c r="AK91" s="684"/>
      <c r="AL91" s="684"/>
      <c r="AM91" s="684"/>
    </row>
    <row r="92" spans="10:39" ht="27.95" hidden="1" customHeight="1" x14ac:dyDescent="0.25">
      <c r="J92" s="660"/>
      <c r="K92" s="660"/>
      <c r="L92" s="660"/>
      <c r="M92" s="660"/>
      <c r="N92" s="660"/>
      <c r="O92" s="660"/>
      <c r="P92" s="660"/>
      <c r="Q92" s="660"/>
      <c r="R92" s="660"/>
      <c r="U92" s="10"/>
      <c r="V92" s="10"/>
      <c r="W92" s="10"/>
      <c r="X92" s="10"/>
      <c r="Y92" s="660"/>
      <c r="Z92" s="660"/>
      <c r="AA92" s="660"/>
      <c r="AB92" s="660"/>
      <c r="AC92" s="660"/>
      <c r="AD92" s="660"/>
      <c r="AE92" s="660"/>
      <c r="AF92" s="684"/>
      <c r="AG92" s="684"/>
      <c r="AH92" s="684"/>
      <c r="AI92" s="684"/>
      <c r="AJ92" s="684"/>
      <c r="AK92" s="684"/>
      <c r="AL92" s="684"/>
      <c r="AM92" s="684"/>
    </row>
    <row r="93" spans="10:39" ht="27.95" hidden="1" customHeight="1" x14ac:dyDescent="0.25">
      <c r="K93" s="660"/>
      <c r="L93" s="660"/>
      <c r="M93" s="660"/>
      <c r="N93" s="660"/>
      <c r="O93" s="660"/>
      <c r="P93" s="660"/>
      <c r="Q93" s="660"/>
      <c r="R93" s="660"/>
      <c r="U93" s="40"/>
      <c r="V93" s="40"/>
      <c r="W93" s="40"/>
      <c r="X93" s="40"/>
      <c r="Y93" s="684"/>
      <c r="Z93" s="684"/>
      <c r="AA93" s="684"/>
      <c r="AB93" s="684"/>
      <c r="AC93" s="684"/>
      <c r="AD93" s="684"/>
      <c r="AE93" s="684"/>
      <c r="AF93" s="684"/>
      <c r="AG93" s="684"/>
      <c r="AH93" s="684"/>
      <c r="AI93" s="684"/>
      <c r="AJ93" s="684"/>
      <c r="AK93" s="684"/>
      <c r="AL93" s="684"/>
      <c r="AM93" s="684"/>
    </row>
    <row r="94" spans="10:39" ht="27.95" hidden="1" customHeight="1" x14ac:dyDescent="0.25">
      <c r="K94" s="660"/>
      <c r="L94" s="660"/>
      <c r="M94" s="660"/>
      <c r="N94" s="660"/>
      <c r="O94" s="660"/>
      <c r="P94" s="660"/>
      <c r="Q94" s="660"/>
      <c r="R94" s="660"/>
      <c r="U94" s="40"/>
      <c r="V94" s="40"/>
      <c r="W94" s="40"/>
      <c r="X94" s="40"/>
      <c r="Y94" s="684"/>
      <c r="Z94" s="684"/>
      <c r="AA94" s="684"/>
      <c r="AB94" s="684"/>
      <c r="AC94" s="684"/>
      <c r="AD94" s="684"/>
      <c r="AE94" s="684"/>
      <c r="AF94" s="660"/>
      <c r="AG94" s="660"/>
      <c r="AH94" s="660"/>
      <c r="AI94" s="660"/>
      <c r="AJ94" s="660"/>
      <c r="AK94" s="660"/>
      <c r="AL94" s="660"/>
      <c r="AM94" s="660"/>
    </row>
    <row r="95" spans="10:39" ht="27.95" hidden="1" customHeight="1" x14ac:dyDescent="0.25">
      <c r="K95" s="660"/>
      <c r="L95" s="660"/>
      <c r="M95" s="660"/>
      <c r="N95" s="660"/>
      <c r="O95" s="660"/>
      <c r="P95" s="660"/>
      <c r="Q95" s="660"/>
      <c r="R95" s="660"/>
      <c r="U95" s="40"/>
      <c r="V95" s="40"/>
      <c r="W95" s="40"/>
      <c r="X95" s="40"/>
      <c r="Y95" s="684"/>
      <c r="Z95" s="684"/>
      <c r="AA95" s="684"/>
      <c r="AB95" s="684"/>
      <c r="AC95" s="684"/>
      <c r="AD95" s="684"/>
      <c r="AE95" s="684"/>
      <c r="AF95" s="660"/>
      <c r="AG95" s="660"/>
      <c r="AH95" s="660"/>
      <c r="AI95" s="660"/>
      <c r="AJ95" s="660"/>
      <c r="AK95" s="660"/>
      <c r="AL95" s="660"/>
      <c r="AM95" s="660"/>
    </row>
    <row r="96" spans="10:39" ht="27.95" hidden="1" customHeight="1" x14ac:dyDescent="0.25">
      <c r="K96" s="660"/>
      <c r="L96" s="660"/>
      <c r="M96" s="660"/>
      <c r="N96" s="660"/>
      <c r="O96" s="660"/>
      <c r="P96" s="660"/>
      <c r="Q96" s="660"/>
      <c r="R96" s="660"/>
      <c r="AF96" s="684"/>
      <c r="AG96" s="684"/>
      <c r="AH96" s="684"/>
      <c r="AI96" s="684"/>
      <c r="AJ96" s="684"/>
      <c r="AK96" s="684"/>
      <c r="AL96" s="684"/>
      <c r="AM96" s="684"/>
    </row>
    <row r="97" spans="6:39" ht="27.95" hidden="1" customHeight="1" x14ac:dyDescent="0.25">
      <c r="J97" s="660"/>
      <c r="K97" s="660"/>
      <c r="L97" s="660"/>
      <c r="M97" s="660"/>
      <c r="N97" s="660"/>
      <c r="O97" s="660"/>
      <c r="P97" s="660"/>
      <c r="Q97" s="660"/>
      <c r="R97" s="660"/>
      <c r="U97" s="10"/>
      <c r="V97" s="10"/>
      <c r="W97" s="10"/>
      <c r="X97" s="10"/>
      <c r="Y97" s="660"/>
      <c r="Z97" s="660"/>
      <c r="AA97" s="660"/>
      <c r="AB97" s="660"/>
      <c r="AC97" s="660"/>
      <c r="AD97" s="660"/>
      <c r="AE97" s="660"/>
      <c r="AF97" s="684"/>
      <c r="AG97" s="684"/>
      <c r="AH97" s="684"/>
      <c r="AI97" s="684"/>
      <c r="AJ97" s="684"/>
      <c r="AK97" s="684"/>
      <c r="AL97" s="684"/>
      <c r="AM97" s="684"/>
    </row>
    <row r="98" spans="6:39" ht="27.95" hidden="1" customHeight="1" x14ac:dyDescent="0.25">
      <c r="K98" s="660"/>
      <c r="L98" s="660"/>
      <c r="M98" s="660"/>
      <c r="N98" s="660"/>
      <c r="O98" s="660"/>
      <c r="P98" s="660"/>
      <c r="Q98" s="660"/>
      <c r="R98" s="660"/>
      <c r="U98" s="10"/>
      <c r="V98" s="10"/>
      <c r="W98" s="10"/>
      <c r="X98" s="10"/>
      <c r="Y98" s="660"/>
      <c r="Z98" s="660"/>
      <c r="AA98" s="660"/>
      <c r="AB98" s="660"/>
      <c r="AC98" s="660"/>
      <c r="AD98" s="660"/>
      <c r="AE98" s="660"/>
      <c r="AF98" s="684"/>
      <c r="AG98" s="684"/>
      <c r="AH98" s="684"/>
      <c r="AI98" s="684"/>
      <c r="AJ98" s="684"/>
      <c r="AK98" s="684"/>
      <c r="AL98" s="684"/>
      <c r="AM98" s="684"/>
    </row>
    <row r="99" spans="6:39" ht="27.95" hidden="1" customHeight="1" x14ac:dyDescent="0.25">
      <c r="J99" s="663"/>
      <c r="K99" s="663"/>
      <c r="L99" s="663"/>
      <c r="M99" s="663"/>
      <c r="N99" s="663"/>
      <c r="O99" s="663"/>
      <c r="P99" s="663"/>
      <c r="Q99" s="663"/>
      <c r="R99" s="663"/>
      <c r="U99" s="10"/>
      <c r="V99" s="10"/>
      <c r="W99" s="10"/>
      <c r="X99" s="10"/>
      <c r="Y99" s="660"/>
      <c r="Z99" s="660"/>
      <c r="AA99" s="660"/>
      <c r="AB99" s="660"/>
      <c r="AC99" s="660"/>
      <c r="AD99" s="660"/>
      <c r="AE99" s="660"/>
      <c r="AF99" s="684"/>
      <c r="AG99" s="684"/>
      <c r="AH99" s="684"/>
      <c r="AI99" s="684"/>
      <c r="AJ99" s="684"/>
      <c r="AK99" s="684"/>
      <c r="AL99" s="684"/>
      <c r="AM99" s="684"/>
    </row>
    <row r="100" spans="6:39" ht="27.95" hidden="1" customHeight="1" x14ac:dyDescent="0.25">
      <c r="K100" s="660"/>
      <c r="L100" s="660"/>
      <c r="M100" s="660"/>
      <c r="N100" s="660"/>
      <c r="O100" s="660"/>
      <c r="P100" s="660"/>
      <c r="Q100" s="660"/>
      <c r="R100" s="660"/>
      <c r="AF100" s="684"/>
      <c r="AG100" s="684"/>
      <c r="AH100" s="684"/>
      <c r="AI100" s="684"/>
      <c r="AJ100" s="684"/>
      <c r="AK100" s="684"/>
      <c r="AL100" s="684"/>
      <c r="AM100" s="684"/>
    </row>
    <row r="101" spans="6:39" ht="27.95" hidden="1" customHeight="1" x14ac:dyDescent="0.25">
      <c r="F101" s="65"/>
      <c r="G101" s="65"/>
      <c r="H101" s="65"/>
      <c r="K101" s="660"/>
      <c r="L101" s="660"/>
      <c r="M101" s="660"/>
      <c r="N101" s="660"/>
      <c r="O101" s="660"/>
      <c r="P101" s="660"/>
      <c r="Q101" s="660"/>
      <c r="R101" s="660"/>
      <c r="AF101" s="684"/>
      <c r="AG101" s="684"/>
      <c r="AH101" s="684"/>
      <c r="AI101" s="684"/>
      <c r="AJ101" s="684"/>
      <c r="AK101" s="684"/>
      <c r="AL101" s="684"/>
      <c r="AM101" s="684"/>
    </row>
    <row r="102" spans="6:39" ht="27.95" hidden="1" customHeight="1" x14ac:dyDescent="0.25">
      <c r="F102" s="65"/>
      <c r="G102" s="65"/>
      <c r="H102" s="65"/>
      <c r="K102" s="660"/>
      <c r="L102" s="660"/>
      <c r="M102" s="660"/>
      <c r="N102" s="660"/>
      <c r="O102" s="660"/>
      <c r="P102" s="660"/>
      <c r="Q102" s="660"/>
      <c r="R102" s="660"/>
      <c r="AF102" s="684"/>
      <c r="AG102" s="684"/>
      <c r="AH102" s="684"/>
      <c r="AI102" s="684"/>
      <c r="AJ102" s="684"/>
      <c r="AK102" s="684"/>
      <c r="AL102" s="684"/>
      <c r="AM102" s="684"/>
    </row>
    <row r="103" spans="6:39" ht="27.95" hidden="1" customHeight="1" x14ac:dyDescent="0.25">
      <c r="F103" s="65"/>
      <c r="G103" s="65"/>
      <c r="H103" s="65"/>
      <c r="K103" s="660"/>
      <c r="L103" s="660"/>
      <c r="M103" s="660"/>
      <c r="N103" s="660"/>
      <c r="O103" s="660"/>
      <c r="P103" s="660"/>
      <c r="Q103" s="660"/>
      <c r="R103" s="660"/>
      <c r="AF103" s="660"/>
      <c r="AG103" s="660"/>
      <c r="AH103" s="660"/>
      <c r="AI103" s="660"/>
      <c r="AJ103" s="660"/>
      <c r="AK103" s="660"/>
      <c r="AL103" s="660"/>
      <c r="AM103" s="660"/>
    </row>
    <row r="104" spans="6:39" ht="27.95" hidden="1" customHeight="1" x14ac:dyDescent="0.25">
      <c r="K104" s="660"/>
      <c r="L104" s="660"/>
      <c r="M104" s="660"/>
      <c r="N104" s="660"/>
      <c r="O104" s="660"/>
      <c r="P104" s="660"/>
      <c r="Q104" s="660"/>
      <c r="R104" s="660"/>
      <c r="AF104" s="660"/>
      <c r="AG104" s="660"/>
      <c r="AH104" s="660"/>
      <c r="AI104" s="660"/>
      <c r="AJ104" s="660"/>
      <c r="AK104" s="660"/>
      <c r="AL104" s="660"/>
      <c r="AM104" s="660"/>
    </row>
    <row r="105" spans="6:39" ht="27.95" hidden="1" customHeight="1" x14ac:dyDescent="0.25">
      <c r="K105" s="660"/>
      <c r="L105" s="660"/>
      <c r="M105" s="660"/>
      <c r="N105" s="660"/>
      <c r="O105" s="660"/>
      <c r="P105" s="660"/>
      <c r="Q105" s="660"/>
      <c r="R105" s="660"/>
      <c r="AF105" s="684"/>
      <c r="AG105" s="684"/>
      <c r="AH105" s="684"/>
      <c r="AI105" s="684"/>
      <c r="AJ105" s="684"/>
      <c r="AK105" s="684"/>
      <c r="AL105" s="684"/>
      <c r="AM105" s="684"/>
    </row>
    <row r="106" spans="6:39" ht="27.95" hidden="1" customHeight="1" x14ac:dyDescent="0.25">
      <c r="K106" s="660"/>
      <c r="L106" s="660"/>
      <c r="M106" s="660"/>
      <c r="N106" s="660"/>
      <c r="O106" s="660"/>
      <c r="P106" s="660"/>
      <c r="Q106" s="660"/>
      <c r="R106" s="660"/>
      <c r="AF106" s="684"/>
      <c r="AG106" s="684"/>
      <c r="AH106" s="684"/>
      <c r="AI106" s="684"/>
      <c r="AJ106" s="684"/>
      <c r="AK106" s="684"/>
      <c r="AL106" s="684"/>
      <c r="AM106" s="684"/>
    </row>
    <row r="107" spans="6:39" ht="27.95" hidden="1" customHeight="1" x14ac:dyDescent="0.25">
      <c r="K107" s="660"/>
      <c r="L107" s="660"/>
      <c r="M107" s="660"/>
      <c r="N107" s="660"/>
      <c r="O107" s="660"/>
      <c r="P107" s="660"/>
      <c r="Q107" s="660"/>
      <c r="R107" s="660"/>
      <c r="AF107" s="684"/>
      <c r="AG107" s="684"/>
      <c r="AH107" s="684"/>
      <c r="AI107" s="684"/>
      <c r="AJ107" s="684"/>
      <c r="AK107" s="684"/>
      <c r="AL107" s="684"/>
      <c r="AM107" s="684"/>
    </row>
    <row r="108" spans="6:39" ht="27.95" hidden="1" customHeight="1" x14ac:dyDescent="0.25">
      <c r="K108" s="660"/>
      <c r="L108" s="660"/>
      <c r="M108" s="660"/>
      <c r="N108" s="660"/>
      <c r="O108" s="660"/>
      <c r="P108" s="660"/>
      <c r="Q108" s="660"/>
      <c r="R108" s="660"/>
    </row>
    <row r="109" spans="6:39" ht="27.95" hidden="1" customHeight="1" x14ac:dyDescent="0.25">
      <c r="K109" s="660"/>
      <c r="L109" s="660"/>
      <c r="M109" s="660"/>
      <c r="N109" s="660"/>
      <c r="O109" s="660"/>
      <c r="P109" s="660"/>
      <c r="Q109" s="660"/>
      <c r="R109" s="660"/>
      <c r="AF109" s="660"/>
      <c r="AG109" s="660"/>
      <c r="AH109" s="660"/>
      <c r="AI109" s="660"/>
      <c r="AJ109" s="660"/>
      <c r="AK109" s="660"/>
      <c r="AL109" s="660"/>
      <c r="AM109" s="660"/>
    </row>
    <row r="110" spans="6:39" ht="27.95" hidden="1" customHeight="1" x14ac:dyDescent="0.25">
      <c r="K110" s="660"/>
      <c r="L110" s="660"/>
      <c r="M110" s="660"/>
      <c r="N110" s="660"/>
      <c r="O110" s="660"/>
      <c r="P110" s="660"/>
      <c r="Q110" s="660"/>
      <c r="R110" s="660"/>
      <c r="AF110" s="660"/>
      <c r="AG110" s="660"/>
      <c r="AH110" s="660"/>
      <c r="AI110" s="660"/>
      <c r="AJ110" s="660"/>
      <c r="AK110" s="660"/>
      <c r="AL110" s="660"/>
      <c r="AM110" s="660"/>
    </row>
    <row r="111" spans="6:39" ht="27.95" hidden="1" customHeight="1" x14ac:dyDescent="0.25">
      <c r="K111" s="660"/>
      <c r="L111" s="660"/>
      <c r="M111" s="660"/>
      <c r="N111" s="660"/>
      <c r="O111" s="660"/>
      <c r="P111" s="660"/>
      <c r="Q111" s="660"/>
      <c r="R111" s="660"/>
      <c r="AF111" s="660"/>
      <c r="AG111" s="660"/>
      <c r="AH111" s="660"/>
      <c r="AI111" s="660"/>
      <c r="AJ111" s="660"/>
      <c r="AK111" s="660"/>
      <c r="AL111" s="660"/>
      <c r="AM111" s="660"/>
    </row>
    <row r="112" spans="6:39" ht="27.95" hidden="1" customHeight="1" x14ac:dyDescent="0.25">
      <c r="K112" s="660"/>
      <c r="L112" s="660"/>
      <c r="M112" s="660"/>
      <c r="N112" s="660"/>
      <c r="O112" s="660"/>
      <c r="P112" s="660"/>
      <c r="Q112" s="660"/>
      <c r="R112" s="660"/>
    </row>
    <row r="113" spans="11:18" ht="27.95" hidden="1" customHeight="1" x14ac:dyDescent="0.25">
      <c r="K113" s="660"/>
      <c r="L113" s="660"/>
      <c r="M113" s="660"/>
      <c r="N113" s="660"/>
      <c r="O113" s="660"/>
      <c r="P113" s="660"/>
      <c r="Q113" s="660"/>
      <c r="R113" s="660"/>
    </row>
    <row r="114" spans="11:18" ht="27.95" hidden="1" customHeight="1" x14ac:dyDescent="0.25">
      <c r="K114" s="660"/>
      <c r="L114" s="660"/>
      <c r="M114" s="660"/>
      <c r="N114" s="660"/>
      <c r="O114" s="660"/>
      <c r="P114" s="660"/>
      <c r="Q114" s="660"/>
      <c r="R114" s="660"/>
    </row>
    <row r="115" spans="11:18" ht="27.95" hidden="1" customHeight="1" x14ac:dyDescent="0.25">
      <c r="K115" s="660"/>
      <c r="L115" s="660"/>
      <c r="M115" s="660"/>
      <c r="N115" s="660"/>
      <c r="O115" s="660"/>
      <c r="P115" s="660"/>
      <c r="Q115" s="660"/>
      <c r="R115" s="660"/>
    </row>
    <row r="116" spans="11:18" ht="27.95" hidden="1" customHeight="1" x14ac:dyDescent="0.25">
      <c r="K116" s="660"/>
      <c r="L116" s="660"/>
      <c r="M116" s="660"/>
      <c r="N116" s="660"/>
      <c r="O116" s="660"/>
      <c r="P116" s="660"/>
      <c r="Q116" s="660"/>
      <c r="R116" s="660"/>
    </row>
    <row r="117" spans="11:18" ht="27.95" hidden="1" customHeight="1" x14ac:dyDescent="0.25">
      <c r="K117" s="660"/>
      <c r="L117" s="660"/>
      <c r="M117" s="660"/>
      <c r="N117" s="660"/>
      <c r="O117" s="660"/>
      <c r="P117" s="660"/>
      <c r="Q117" s="660"/>
      <c r="R117" s="660"/>
    </row>
    <row r="118" spans="11:18" ht="27.95" hidden="1" customHeight="1" x14ac:dyDescent="0.25">
      <c r="K118" s="660"/>
      <c r="L118" s="660"/>
      <c r="M118" s="660"/>
      <c r="N118" s="660"/>
      <c r="O118" s="660"/>
      <c r="P118" s="660"/>
      <c r="Q118" s="660"/>
      <c r="R118" s="660"/>
    </row>
    <row r="119" spans="11:18" ht="27.95" hidden="1" customHeight="1" x14ac:dyDescent="0.25">
      <c r="K119" s="660"/>
      <c r="L119" s="660"/>
      <c r="M119" s="660"/>
      <c r="N119" s="660"/>
      <c r="O119" s="660"/>
      <c r="P119" s="660"/>
      <c r="Q119" s="660"/>
      <c r="R119" s="660"/>
    </row>
    <row r="120" spans="11:18" ht="27.95" hidden="1" customHeight="1" x14ac:dyDescent="0.25">
      <c r="K120" s="660"/>
      <c r="L120" s="660"/>
      <c r="M120" s="660"/>
      <c r="N120" s="660"/>
      <c r="O120" s="660"/>
      <c r="P120" s="660"/>
      <c r="Q120" s="660"/>
      <c r="R120" s="660"/>
    </row>
    <row r="121" spans="11:18" ht="27.95" hidden="1" customHeight="1" x14ac:dyDescent="0.25">
      <c r="K121" s="660"/>
      <c r="L121" s="660"/>
      <c r="M121" s="660"/>
      <c r="N121" s="660"/>
      <c r="O121" s="660"/>
      <c r="P121" s="660"/>
      <c r="Q121" s="660"/>
      <c r="R121" s="660"/>
    </row>
    <row r="122" spans="11:18" ht="27.95" hidden="1" customHeight="1" x14ac:dyDescent="0.25">
      <c r="K122" s="660"/>
      <c r="L122" s="660"/>
      <c r="M122" s="660"/>
      <c r="N122" s="660"/>
      <c r="O122" s="660"/>
      <c r="P122" s="660"/>
      <c r="Q122" s="660"/>
      <c r="R122" s="660"/>
    </row>
    <row r="123" spans="11:18" ht="27.95" hidden="1" customHeight="1" x14ac:dyDescent="0.25">
      <c r="K123" s="660"/>
      <c r="L123" s="660"/>
      <c r="M123" s="660"/>
      <c r="N123" s="660"/>
      <c r="O123" s="660"/>
      <c r="P123" s="660"/>
      <c r="Q123" s="660"/>
      <c r="R123" s="660"/>
    </row>
    <row r="124" spans="11:18" ht="27.95" hidden="1" customHeight="1" x14ac:dyDescent="0.25">
      <c r="K124" s="660"/>
      <c r="L124" s="660"/>
      <c r="M124" s="660"/>
      <c r="N124" s="660"/>
      <c r="O124" s="660"/>
      <c r="P124" s="660"/>
      <c r="Q124" s="660"/>
      <c r="R124" s="660"/>
    </row>
    <row r="125" spans="11:18" ht="27.95" hidden="1" customHeight="1" x14ac:dyDescent="0.25">
      <c r="K125" s="660"/>
      <c r="L125" s="660"/>
      <c r="M125" s="660"/>
      <c r="N125" s="660"/>
      <c r="O125" s="660"/>
      <c r="P125" s="660"/>
      <c r="Q125" s="660"/>
      <c r="R125" s="660"/>
    </row>
    <row r="126" spans="11:18" ht="27.95" hidden="1" customHeight="1" x14ac:dyDescent="0.25">
      <c r="K126" s="660"/>
      <c r="L126" s="660"/>
      <c r="M126" s="660"/>
      <c r="N126" s="660"/>
      <c r="O126" s="660"/>
      <c r="P126" s="660"/>
      <c r="Q126" s="660"/>
      <c r="R126" s="660"/>
    </row>
    <row r="127" spans="11:18" ht="27.95" hidden="1" customHeight="1" x14ac:dyDescent="0.25">
      <c r="K127" s="660"/>
      <c r="L127" s="660"/>
      <c r="M127" s="660"/>
      <c r="N127" s="660"/>
      <c r="O127" s="660"/>
      <c r="P127" s="660"/>
      <c r="Q127" s="660"/>
      <c r="R127" s="660"/>
    </row>
    <row r="128" spans="11:18" ht="27.95" hidden="1" customHeight="1" x14ac:dyDescent="0.25">
      <c r="K128" s="660"/>
      <c r="L128" s="660"/>
      <c r="M128" s="660"/>
      <c r="N128" s="660"/>
      <c r="O128" s="660"/>
      <c r="P128" s="660"/>
      <c r="Q128" s="660"/>
      <c r="R128" s="660"/>
    </row>
    <row r="129" spans="11:18" ht="27.95" hidden="1" customHeight="1" x14ac:dyDescent="0.25">
      <c r="K129" s="660"/>
      <c r="L129" s="660"/>
      <c r="M129" s="660"/>
      <c r="N129" s="660"/>
      <c r="O129" s="660"/>
      <c r="P129" s="660"/>
      <c r="Q129" s="660"/>
      <c r="R129" s="660"/>
    </row>
    <row r="130" spans="11:18" ht="27.95" hidden="1" customHeight="1" x14ac:dyDescent="0.25">
      <c r="K130" s="660"/>
      <c r="L130" s="660"/>
      <c r="M130" s="660"/>
      <c r="N130" s="660"/>
      <c r="O130" s="660"/>
      <c r="P130" s="660"/>
      <c r="Q130" s="660"/>
      <c r="R130" s="660"/>
    </row>
    <row r="131" spans="11:18" ht="27.95" hidden="1" customHeight="1" x14ac:dyDescent="0.25">
      <c r="K131" s="660"/>
      <c r="L131" s="660"/>
      <c r="M131" s="660"/>
      <c r="N131" s="660"/>
      <c r="O131" s="660"/>
      <c r="P131" s="660"/>
      <c r="Q131" s="660"/>
      <c r="R131" s="660"/>
    </row>
    <row r="132" spans="11:18" ht="27.95" hidden="1" customHeight="1" x14ac:dyDescent="0.25">
      <c r="K132" s="660"/>
      <c r="L132" s="660"/>
      <c r="M132" s="660"/>
      <c r="N132" s="660"/>
      <c r="O132" s="660"/>
      <c r="P132" s="660"/>
      <c r="Q132" s="660"/>
      <c r="R132" s="660"/>
    </row>
    <row r="133" spans="11:18" ht="27.95" hidden="1" customHeight="1" x14ac:dyDescent="0.25">
      <c r="K133" s="660"/>
      <c r="L133" s="660"/>
      <c r="M133" s="660"/>
      <c r="N133" s="660"/>
      <c r="O133" s="660"/>
      <c r="P133" s="660"/>
      <c r="Q133" s="660"/>
      <c r="R133" s="660"/>
    </row>
    <row r="134" spans="11:18" ht="27.95" hidden="1" customHeight="1" x14ac:dyDescent="0.25">
      <c r="K134" s="660"/>
      <c r="L134" s="660"/>
      <c r="M134" s="660"/>
      <c r="N134" s="660"/>
      <c r="O134" s="660"/>
      <c r="P134" s="660"/>
      <c r="Q134" s="660"/>
      <c r="R134" s="660"/>
    </row>
    <row r="135" spans="11:18" ht="27.95" hidden="1" customHeight="1" x14ac:dyDescent="0.25">
      <c r="K135" s="660"/>
      <c r="L135" s="660"/>
      <c r="M135" s="660"/>
      <c r="N135" s="660"/>
      <c r="O135" s="660"/>
      <c r="P135" s="660"/>
      <c r="Q135" s="660"/>
      <c r="R135" s="660"/>
    </row>
    <row r="136" spans="11:18" ht="27.95" hidden="1" customHeight="1" x14ac:dyDescent="0.25">
      <c r="K136" s="660"/>
      <c r="L136" s="660"/>
      <c r="M136" s="660"/>
      <c r="N136" s="660"/>
      <c r="O136" s="660"/>
      <c r="P136" s="660"/>
      <c r="Q136" s="660"/>
      <c r="R136" s="660"/>
    </row>
    <row r="137" spans="11:18" ht="27.95" hidden="1" customHeight="1" x14ac:dyDescent="0.25">
      <c r="K137" s="660"/>
      <c r="L137" s="660"/>
      <c r="M137" s="660"/>
      <c r="N137" s="660"/>
      <c r="O137" s="660"/>
      <c r="P137" s="660"/>
      <c r="Q137" s="660"/>
      <c r="R137" s="660"/>
    </row>
    <row r="138" spans="11:18" ht="27.95" hidden="1" customHeight="1" x14ac:dyDescent="0.25">
      <c r="K138" s="660"/>
      <c r="L138" s="660"/>
      <c r="M138" s="660"/>
      <c r="N138" s="660"/>
      <c r="O138" s="660"/>
      <c r="P138" s="660"/>
      <c r="Q138" s="660"/>
      <c r="R138" s="660"/>
    </row>
    <row r="139" spans="11:18" ht="27.95" hidden="1" customHeight="1" x14ac:dyDescent="0.25">
      <c r="K139" s="660"/>
      <c r="L139" s="660"/>
      <c r="M139" s="660"/>
      <c r="N139" s="660"/>
      <c r="O139" s="660"/>
      <c r="P139" s="660"/>
      <c r="Q139" s="660"/>
      <c r="R139" s="660"/>
    </row>
    <row r="140" spans="11:18" ht="27.95" hidden="1" customHeight="1" x14ac:dyDescent="0.25">
      <c r="K140" s="660"/>
      <c r="L140" s="660"/>
      <c r="M140" s="660"/>
      <c r="N140" s="660"/>
      <c r="O140" s="660"/>
      <c r="P140" s="660"/>
      <c r="Q140" s="660"/>
      <c r="R140" s="660"/>
    </row>
    <row r="141" spans="11:18" ht="27.95" hidden="1" customHeight="1" x14ac:dyDescent="0.25">
      <c r="K141" s="660"/>
      <c r="L141" s="660"/>
      <c r="M141" s="660"/>
      <c r="N141" s="660"/>
      <c r="O141" s="660"/>
      <c r="P141" s="660"/>
      <c r="Q141" s="660"/>
      <c r="R141" s="660"/>
    </row>
    <row r="142" spans="11:18" ht="27.95" hidden="1" customHeight="1" x14ac:dyDescent="0.25">
      <c r="K142" s="660"/>
      <c r="L142" s="660"/>
      <c r="M142" s="660"/>
      <c r="N142" s="660"/>
      <c r="O142" s="660"/>
      <c r="P142" s="660"/>
      <c r="Q142" s="660"/>
      <c r="R142" s="660"/>
    </row>
    <row r="143" spans="11:18" ht="27.95" hidden="1" customHeight="1" x14ac:dyDescent="0.25">
      <c r="K143" s="660"/>
      <c r="L143" s="660"/>
      <c r="M143" s="660"/>
      <c r="N143" s="660"/>
      <c r="O143" s="660"/>
      <c r="P143" s="660"/>
      <c r="Q143" s="660"/>
      <c r="R143" s="660"/>
    </row>
    <row r="144" spans="11:18" ht="27.95" hidden="1" customHeight="1" x14ac:dyDescent="0.25">
      <c r="K144" s="660"/>
      <c r="L144" s="660"/>
      <c r="M144" s="660"/>
      <c r="N144" s="660"/>
      <c r="O144" s="660"/>
      <c r="P144" s="660"/>
      <c r="Q144" s="660"/>
      <c r="R144" s="660"/>
    </row>
    <row r="145" spans="11:18" ht="27.95" hidden="1" customHeight="1" x14ac:dyDescent="0.25">
      <c r="K145" s="660"/>
      <c r="L145" s="660"/>
      <c r="M145" s="660"/>
      <c r="N145" s="660"/>
      <c r="O145" s="660"/>
      <c r="P145" s="660"/>
      <c r="Q145" s="660"/>
      <c r="R145" s="660"/>
    </row>
    <row r="146" spans="11:18" ht="27.95" hidden="1" customHeight="1" x14ac:dyDescent="0.25">
      <c r="K146" s="660"/>
      <c r="L146" s="660"/>
      <c r="M146" s="660"/>
      <c r="N146" s="660"/>
      <c r="O146" s="660"/>
      <c r="P146" s="660"/>
      <c r="Q146" s="660"/>
      <c r="R146" s="660"/>
    </row>
    <row r="147" spans="11:18" ht="27.95" hidden="1" customHeight="1" x14ac:dyDescent="0.25">
      <c r="K147" s="660"/>
      <c r="L147" s="660"/>
      <c r="M147" s="660"/>
      <c r="N147" s="660"/>
      <c r="O147" s="660"/>
      <c r="P147" s="660"/>
      <c r="Q147" s="660"/>
      <c r="R147" s="660"/>
    </row>
    <row r="148" spans="11:18" ht="27.95" hidden="1" customHeight="1" x14ac:dyDescent="0.25"/>
    <row r="149" spans="11:18" ht="27.95" hidden="1" customHeight="1" x14ac:dyDescent="0.25"/>
    <row r="150" spans="11:18" ht="27.95" hidden="1" customHeight="1" x14ac:dyDescent="0.25"/>
    <row r="151" spans="11:18" ht="27.95" hidden="1" customHeight="1" x14ac:dyDescent="0.25"/>
  </sheetData>
  <sheetProtection password="D65F" sheet="1" objects="1" scenarios="1"/>
  <mergeCells count="75">
    <mergeCell ref="AA5:AC5"/>
    <mergeCell ref="U22:U23"/>
    <mergeCell ref="V22:V23"/>
    <mergeCell ref="W22:W23"/>
    <mergeCell ref="L20:M20"/>
    <mergeCell ref="L21:M21"/>
    <mergeCell ref="L22:M22"/>
    <mergeCell ref="AA22:AB22"/>
    <mergeCell ref="AA19:AB19"/>
    <mergeCell ref="AA20:AB20"/>
    <mergeCell ref="L17:M17"/>
    <mergeCell ref="AJ10:AM10"/>
    <mergeCell ref="AJ11:AM11"/>
    <mergeCell ref="AK2:AK4"/>
    <mergeCell ref="AP33:AQ33"/>
    <mergeCell ref="AO14:AS14"/>
    <mergeCell ref="AO32:AS32"/>
    <mergeCell ref="C34:H34"/>
    <mergeCell ref="C35:H36"/>
    <mergeCell ref="AA18:AB18"/>
    <mergeCell ref="AA21:AB21"/>
    <mergeCell ref="L40:Q41"/>
    <mergeCell ref="C21:D22"/>
    <mergeCell ref="L18:M18"/>
    <mergeCell ref="L19:M19"/>
    <mergeCell ref="C18:D18"/>
    <mergeCell ref="F21:G21"/>
    <mergeCell ref="L39:Q39"/>
    <mergeCell ref="C17:D17"/>
    <mergeCell ref="C19:D19"/>
    <mergeCell ref="C14:D14"/>
    <mergeCell ref="E14:H14"/>
    <mergeCell ref="AA14:AC14"/>
    <mergeCell ref="AA17:AB17"/>
    <mergeCell ref="U14:W14"/>
    <mergeCell ref="AG45:AJ45"/>
    <mergeCell ref="AG27:AJ27"/>
    <mergeCell ref="AG28:AJ28"/>
    <mergeCell ref="AG29:AJ29"/>
    <mergeCell ref="AG30:AJ30"/>
    <mergeCell ref="AG31:AJ31"/>
    <mergeCell ref="AG38:AJ38"/>
    <mergeCell ref="AG39:AJ39"/>
    <mergeCell ref="AG40:AJ40"/>
    <mergeCell ref="AG42:AJ42"/>
    <mergeCell ref="AG43:AJ43"/>
    <mergeCell ref="AG44:AJ44"/>
    <mergeCell ref="AG50:AJ50"/>
    <mergeCell ref="AG51:AJ51"/>
    <mergeCell ref="AG63:AJ63"/>
    <mergeCell ref="AG64:AJ64"/>
    <mergeCell ref="AG52:AJ52"/>
    <mergeCell ref="AG53:AJ53"/>
    <mergeCell ref="AG54:AJ54"/>
    <mergeCell ref="AG55:AJ55"/>
    <mergeCell ref="AG56:AJ56"/>
    <mergeCell ref="AG61:AJ61"/>
    <mergeCell ref="AG62:AJ62"/>
    <mergeCell ref="AG60:AJ60"/>
    <mergeCell ref="AU5:AX5"/>
    <mergeCell ref="AG58:AJ58"/>
    <mergeCell ref="AG59:AJ59"/>
    <mergeCell ref="AG33:AJ33"/>
    <mergeCell ref="AG34:AJ34"/>
    <mergeCell ref="AG35:AJ35"/>
    <mergeCell ref="AG36:AJ36"/>
    <mergeCell ref="AG26:AJ26"/>
    <mergeCell ref="AG37:AJ37"/>
    <mergeCell ref="AG25:AJ25"/>
    <mergeCell ref="AR33:AS33"/>
    <mergeCell ref="AG15:AG17"/>
    <mergeCell ref="AT15:AW15"/>
    <mergeCell ref="AG46:AJ46"/>
    <mergeCell ref="AG47:AJ47"/>
    <mergeCell ref="AG49:AJ49"/>
  </mergeCells>
  <conditionalFormatting sqref="E18">
    <cfRule type="expression" dxfId="324" priority="137">
      <formula>IF(ISERROR(E18)=TRUE,TRUE,FALSE)</formula>
    </cfRule>
  </conditionalFormatting>
  <conditionalFormatting sqref="F18">
    <cfRule type="expression" dxfId="323" priority="136">
      <formula>IF(ISERROR(F18)=TRUE,TRUE,FALSE)</formula>
    </cfRule>
  </conditionalFormatting>
  <conditionalFormatting sqref="G18:H18">
    <cfRule type="expression" dxfId="322" priority="135">
      <formula>IF(ISERROR(G18)=TRUE,TRUE,FALSE)</formula>
    </cfRule>
  </conditionalFormatting>
  <conditionalFormatting sqref="W28">
    <cfRule type="expression" dxfId="321" priority="110">
      <formula>IF(ISERROR(W28)=TRUE,TRUE,FALSE)</formula>
    </cfRule>
  </conditionalFormatting>
  <conditionalFormatting sqref="E19:H19">
    <cfRule type="expression" dxfId="320" priority="285">
      <formula>IF(ISERROR(E18)=TRUE,TRUE,FALSE)</formula>
    </cfRule>
  </conditionalFormatting>
  <conditionalFormatting sqref="E19:H19">
    <cfRule type="expression" dxfId="319" priority="438">
      <formula>IF(E18&lt;=Gut,TRUE,FALSE)</formula>
    </cfRule>
    <cfRule type="expression" dxfId="318" priority="439">
      <formula>IF(E18&lt;=Potential,TRUE,FALSE)</formula>
    </cfRule>
    <cfRule type="expression" dxfId="317" priority="440">
      <formula>IF(E18&gt;Potential,TRUE,FALSE)</formula>
    </cfRule>
  </conditionalFormatting>
  <conditionalFormatting sqref="W29">
    <cfRule type="expression" dxfId="316" priority="60">
      <formula>IF(ISERROR(W28)=TRUE,TRUE,FALSE)</formula>
    </cfRule>
  </conditionalFormatting>
  <conditionalFormatting sqref="W29">
    <cfRule type="expression" dxfId="315" priority="61">
      <formula>IF(W28&lt;=Gut,TRUE,FALSE)</formula>
    </cfRule>
    <cfRule type="expression" dxfId="314" priority="62">
      <formula>IF(W28&lt;=Potential,TRUE,FALSE)</formula>
    </cfRule>
    <cfRule type="expression" dxfId="313" priority="63">
      <formula>IF(W28&gt;Potential,TRUE,FALSE)</formula>
    </cfRule>
  </conditionalFormatting>
  <conditionalFormatting sqref="O26">
    <cfRule type="expression" dxfId="312" priority="59">
      <formula>IF(ISERROR(O26)=TRUE,TRUE,FALSE)</formula>
    </cfRule>
  </conditionalFormatting>
  <conditionalFormatting sqref="P26">
    <cfRule type="expression" dxfId="311" priority="58">
      <formula>IF(ISERROR(P26)=TRUE,TRUE,FALSE)</formula>
    </cfRule>
  </conditionalFormatting>
  <conditionalFormatting sqref="Q26">
    <cfRule type="expression" dxfId="310" priority="57">
      <formula>IF(ISERROR(Q26)=TRUE,TRUE,FALSE)</formula>
    </cfRule>
  </conditionalFormatting>
  <conditionalFormatting sqref="O27:Q27">
    <cfRule type="expression" dxfId="309" priority="53">
      <formula>IF(ISERROR(O26)=TRUE,TRUE,FALSE)</formula>
    </cfRule>
  </conditionalFormatting>
  <conditionalFormatting sqref="O27:Q27">
    <cfRule type="expression" dxfId="308" priority="54">
      <formula>IF(O26&lt;=Gut,TRUE,FALSE)</formula>
    </cfRule>
    <cfRule type="expression" dxfId="307" priority="55">
      <formula>IF(O26&lt;=Potential,TRUE,FALSE)</formula>
    </cfRule>
    <cfRule type="expression" dxfId="306" priority="56">
      <formula>IF(O26&gt;Potential,TRUE,FALSE)</formula>
    </cfRule>
  </conditionalFormatting>
  <conditionalFormatting sqref="P29">
    <cfRule type="expression" dxfId="305" priority="51">
      <formula>ISERROR(P29)</formula>
    </cfRule>
    <cfRule type="cellIs" dxfId="304" priority="52" operator="greaterThan">
      <formula>0</formula>
    </cfRule>
  </conditionalFormatting>
  <conditionalFormatting sqref="N33">
    <cfRule type="expression" dxfId="303" priority="49">
      <formula>ISERROR(N33)</formula>
    </cfRule>
    <cfRule type="cellIs" dxfId="302" priority="50" operator="greaterThan">
      <formula>0</formula>
    </cfRule>
  </conditionalFormatting>
  <conditionalFormatting sqref="N36">
    <cfRule type="expression" dxfId="301" priority="47">
      <formula>ISERROR(N36)</formula>
    </cfRule>
    <cfRule type="cellIs" dxfId="300" priority="48" operator="greaterThan">
      <formula>0</formula>
    </cfRule>
  </conditionalFormatting>
  <conditionalFormatting sqref="P33">
    <cfRule type="expression" dxfId="299" priority="45">
      <formula>ISERROR(P33)</formula>
    </cfRule>
    <cfRule type="cellIs" dxfId="298" priority="46" operator="greaterThan">
      <formula>0</formula>
    </cfRule>
  </conditionalFormatting>
  <conditionalFormatting sqref="P36">
    <cfRule type="expression" dxfId="297" priority="43">
      <formula>ISERROR(P36)</formula>
    </cfRule>
    <cfRule type="cellIs" dxfId="296" priority="44" operator="greaterThan">
      <formula>0</formula>
    </cfRule>
  </conditionalFormatting>
  <conditionalFormatting sqref="D23">
    <cfRule type="expression" dxfId="295" priority="41">
      <formula>ISERROR(D23)</formula>
    </cfRule>
    <cfRule type="cellIs" dxfId="294" priority="42" operator="greaterThan">
      <formula>0</formula>
    </cfRule>
  </conditionalFormatting>
  <conditionalFormatting sqref="E27">
    <cfRule type="expression" dxfId="293" priority="39">
      <formula>ISERROR(E27)</formula>
    </cfRule>
    <cfRule type="cellIs" dxfId="292" priority="40" operator="greaterThan">
      <formula>0</formula>
    </cfRule>
  </conditionalFormatting>
  <conditionalFormatting sqref="E30">
    <cfRule type="expression" dxfId="291" priority="37">
      <formula>ISERROR(E30)</formula>
    </cfRule>
    <cfRule type="cellIs" dxfId="290" priority="38" operator="greaterThan">
      <formula>0</formula>
    </cfRule>
  </conditionalFormatting>
  <conditionalFormatting sqref="G27">
    <cfRule type="expression" dxfId="289" priority="35">
      <formula>ISERROR(G27)</formula>
    </cfRule>
    <cfRule type="cellIs" dxfId="288" priority="36" operator="greaterThan">
      <formula>0</formula>
    </cfRule>
  </conditionalFormatting>
  <conditionalFormatting sqref="G30">
    <cfRule type="expression" dxfId="287" priority="33">
      <formula>ISERROR(G30)</formula>
    </cfRule>
    <cfRule type="cellIs" dxfId="286" priority="34" operator="greaterThan">
      <formula>0</formula>
    </cfRule>
  </conditionalFormatting>
  <conditionalFormatting sqref="AC17">
    <cfRule type="expression" dxfId="285" priority="6">
      <formula>IF(Q25&gt;0,TRUE,FALSE)</formula>
    </cfRule>
    <cfRule type="expression" dxfId="284" priority="7">
      <formula>IF(G17&gt;0,TRUE,FALSE)</formula>
    </cfRule>
    <cfRule type="cellIs" dxfId="283" priority="19" operator="greaterThan">
      <formula>0</formula>
    </cfRule>
    <cfRule type="expression" dxfId="282" priority="32">
      <formula>ISERROR(AC17)</formula>
    </cfRule>
  </conditionalFormatting>
  <conditionalFormatting sqref="AC19">
    <cfRule type="expression" dxfId="281" priority="1">
      <formula>IF(N24&gt;0,TRUE,FALSE)</formula>
    </cfRule>
    <cfRule type="expression" dxfId="280" priority="2">
      <formula>IF(D16&gt;0,TRUE,FALSE)</formula>
    </cfRule>
    <cfRule type="cellIs" dxfId="279" priority="18" operator="greaterThan">
      <formula>0</formula>
    </cfRule>
    <cfRule type="expression" dxfId="278" priority="31">
      <formula>ISERROR(AC19)</formula>
    </cfRule>
  </conditionalFormatting>
  <conditionalFormatting sqref="AC21">
    <cfRule type="expression" dxfId="277" priority="29">
      <formula>ISERROR(AC21)</formula>
    </cfRule>
  </conditionalFormatting>
  <conditionalFormatting sqref="AC20">
    <cfRule type="expression" dxfId="276" priority="5">
      <formula>IF(W27&gt;0,TRUE,FALSE)</formula>
    </cfRule>
    <cfRule type="cellIs" dxfId="275" priority="17" operator="greaterThan">
      <formula>0</formula>
    </cfRule>
    <cfRule type="expression" dxfId="274" priority="28">
      <formula>ISERROR(AC20)</formula>
    </cfRule>
  </conditionalFormatting>
  <conditionalFormatting sqref="W31">
    <cfRule type="expression" dxfId="273" priority="26">
      <formula>ISERROR(W31)</formula>
    </cfRule>
    <cfRule type="cellIs" dxfId="272" priority="27" operator="greaterThan">
      <formula>0</formula>
    </cfRule>
  </conditionalFormatting>
  <conditionalFormatting sqref="W32">
    <cfRule type="expression" dxfId="271" priority="24">
      <formula>ISERROR(W32)</formula>
    </cfRule>
    <cfRule type="cellIs" dxfId="270" priority="25" operator="greaterThan">
      <formula>0</formula>
    </cfRule>
  </conditionalFormatting>
  <conditionalFormatting sqref="Y29">
    <cfRule type="expression" dxfId="269" priority="22">
      <formula>ISERROR(Y29)</formula>
    </cfRule>
    <cfRule type="cellIs" dxfId="268" priority="23" operator="greaterThan">
      <formula>0</formula>
    </cfRule>
  </conditionalFormatting>
  <conditionalFormatting sqref="W33">
    <cfRule type="expression" dxfId="267" priority="20">
      <formula>ISERROR(W33)</formula>
    </cfRule>
    <cfRule type="cellIs" dxfId="266" priority="21" operator="greaterThan">
      <formula>0</formula>
    </cfRule>
  </conditionalFormatting>
  <conditionalFormatting sqref="AG15">
    <cfRule type="expression" dxfId="265" priority="668">
      <formula>IF($AV$55&gt;Grün,TRUE,FALSE)</formula>
    </cfRule>
    <cfRule type="expression" dxfId="264" priority="669">
      <formula>IF($AV$55&gt;Rot,TRUE,FALSE)</formula>
    </cfRule>
    <cfRule type="expression" dxfId="263" priority="670">
      <formula>IF($AV$55&gt;0,TRUE,FALSE)</formula>
    </cfRule>
  </conditionalFormatting>
  <conditionalFormatting sqref="G28">
    <cfRule type="expression" dxfId="262" priority="14">
      <formula>ISERROR(G28)</formula>
    </cfRule>
    <cfRule type="cellIs" dxfId="261" priority="15" operator="greaterThan">
      <formula>0</formula>
    </cfRule>
  </conditionalFormatting>
  <conditionalFormatting sqref="P34">
    <cfRule type="expression" dxfId="260" priority="12">
      <formula>ISERROR(P34)</formula>
    </cfRule>
    <cfRule type="cellIs" dxfId="259" priority="13" operator="greaterThan">
      <formula>0</formula>
    </cfRule>
  </conditionalFormatting>
  <conditionalFormatting sqref="AC18">
    <cfRule type="expression" dxfId="258" priority="3">
      <formula>IF(O25+P25&gt;0,TRUE,FALSE)</formula>
    </cfRule>
    <cfRule type="expression" dxfId="257" priority="4">
      <formula>IF(E17+F17&gt;0,TRUE,FALSE)</formula>
    </cfRule>
    <cfRule type="cellIs" dxfId="256" priority="10" operator="greaterThan">
      <formula>0</formula>
    </cfRule>
    <cfRule type="expression" dxfId="255" priority="11">
      <formula>ISERROR(AC18)</formula>
    </cfRule>
  </conditionalFormatting>
  <conditionalFormatting sqref="AC22">
    <cfRule type="expression" dxfId="254" priority="9">
      <formula>ISERROR(AC22)</formula>
    </cfRule>
  </conditionalFormatting>
  <dataValidations count="1">
    <dataValidation type="list" allowBlank="1" showInputMessage="1" showErrorMessage="1" sqref="AK50:AK56 AK26:AK31 AK34:AK40 AK59:AK63 AK43:AK47">
      <formula1>Liste</formula1>
    </dataValidation>
  </dataValidations>
  <hyperlinks>
    <hyperlink ref="AJ11" r:id="rId1"/>
    <hyperlink ref="AJ10" r:id="rId2"/>
  </hyperlinks>
  <pageMargins left="0.70866141732283472" right="0.70866141732283472" top="0.78740157480314965" bottom="0.78740157480314965" header="0.31496062992125984" footer="0.31496062992125984"/>
  <pageSetup paperSize="9" scale="34" orientation="landscape" r:id="rId3"/>
  <headerFooter>
    <oddFooter>&amp;L&amp;D&amp;Cuwe Luzern</oddFooter>
  </headerFooter>
  <rowBreaks count="1" manualBreakCount="1">
    <brk id="41" max="16383" man="1"/>
  </rowBreaks>
  <drawing r:id="rId4"/>
  <legacyDrawing r:id="rId5"/>
  <oleObjects>
    <mc:AlternateContent xmlns:mc="http://schemas.openxmlformats.org/markup-compatibility/2006">
      <mc:Choice Requires="x14">
        <oleObject progId="Acrobat Document" dvAspect="DVASPECT_ICON" shapeId="4104" r:id="rId6">
          <objectPr locked="0" defaultSize="0" r:id="rId7">
            <anchor moveWithCells="1">
              <from>
                <xdr:col>37</xdr:col>
                <xdr:colOff>104775</xdr:colOff>
                <xdr:row>1</xdr:row>
                <xdr:rowOff>0</xdr:rowOff>
              </from>
              <to>
                <xdr:col>37</xdr:col>
                <xdr:colOff>1019175</xdr:colOff>
                <xdr:row>3</xdr:row>
                <xdr:rowOff>161925</xdr:rowOff>
              </to>
            </anchor>
          </objectPr>
        </oleObject>
      </mc:Choice>
      <mc:Fallback>
        <oleObject progId="Acrobat Document" dvAspect="DVASPECT_ICON" shapeId="4104" r:id="rId6"/>
      </mc:Fallback>
    </mc:AlternateContent>
  </oleObjects>
  <controls>
    <mc:AlternateContent xmlns:mc="http://schemas.openxmlformats.org/markup-compatibility/2006">
      <mc:Choice Requires="x14">
        <control shapeId="4100" r:id="rId8" name="OptionButton4">
          <controlPr locked="0" defaultSize="0" autoLine="0" linkedCell="H22" r:id="rId9">
            <anchor moveWithCells="1">
              <from>
                <xdr:col>6</xdr:col>
                <xdr:colOff>1466850</xdr:colOff>
                <xdr:row>21</xdr:row>
                <xdr:rowOff>76200</xdr:rowOff>
              </from>
              <to>
                <xdr:col>7</xdr:col>
                <xdr:colOff>1400175</xdr:colOff>
                <xdr:row>21</xdr:row>
                <xdr:rowOff>333375</xdr:rowOff>
              </to>
            </anchor>
          </controlPr>
        </control>
      </mc:Choice>
      <mc:Fallback>
        <control shapeId="4100" r:id="rId8" name="OptionButton4"/>
      </mc:Fallback>
    </mc:AlternateContent>
    <mc:AlternateContent xmlns:mc="http://schemas.openxmlformats.org/markup-compatibility/2006">
      <mc:Choice Requires="x14">
        <control shapeId="4102" r:id="rId10" name="OptionButton5">
          <controlPr locked="0" defaultSize="0" autoLine="0" linkedCell="H23" r:id="rId11">
            <anchor moveWithCells="1">
              <from>
                <xdr:col>6</xdr:col>
                <xdr:colOff>1466850</xdr:colOff>
                <xdr:row>22</xdr:row>
                <xdr:rowOff>0</xdr:rowOff>
              </from>
              <to>
                <xdr:col>7</xdr:col>
                <xdr:colOff>1400175</xdr:colOff>
                <xdr:row>22</xdr:row>
                <xdr:rowOff>295275</xdr:rowOff>
              </to>
            </anchor>
          </controlPr>
        </control>
      </mc:Choice>
      <mc:Fallback>
        <control shapeId="4102" r:id="rId10" name="OptionButton5"/>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dimension ref="A1:AX111"/>
  <sheetViews>
    <sheetView showGridLines="0" showRowColHeaders="0" zoomScaleNormal="100" workbookViewId="0"/>
  </sheetViews>
  <sheetFormatPr baseColWidth="10" defaultColWidth="0" defaultRowHeight="14.25" zeroHeight="1" x14ac:dyDescent="0.2"/>
  <cols>
    <col min="1" max="1" width="11.42578125" style="66" customWidth="1"/>
    <col min="2" max="2" width="3.7109375" style="66" customWidth="1"/>
    <col min="3" max="3" width="35.7109375" style="66" customWidth="1"/>
    <col min="4" max="7" width="20.7109375" style="66" customWidth="1"/>
    <col min="8" max="8" width="3.7109375" style="66" customWidth="1"/>
    <col min="9" max="9" width="3.7109375" style="106" customWidth="1"/>
    <col min="10" max="10" width="3.7109375" style="66" customWidth="1"/>
    <col min="11" max="11" width="35.7109375" style="66" customWidth="1"/>
    <col min="12" max="16" width="20.7109375" style="66" customWidth="1"/>
    <col min="17" max="17" width="3.7109375" style="66" customWidth="1"/>
    <col min="18" max="19" width="3.7109375" style="106" customWidth="1"/>
    <col min="20" max="20" width="30.7109375" style="106" customWidth="1"/>
    <col min="21" max="21" width="10.7109375" style="106" customWidth="1"/>
    <col min="22" max="25" width="20.7109375" style="106" customWidth="1"/>
    <col min="26" max="28" width="3.7109375" style="106" customWidth="1"/>
    <col min="29" max="29" width="2.7109375" style="66" customWidth="1"/>
    <col min="30" max="30" width="26.140625" style="115" customWidth="1"/>
    <col min="31" max="31" width="19.28515625" style="115" customWidth="1"/>
    <col min="32" max="32" width="17.7109375" style="115" customWidth="1"/>
    <col min="33" max="36" width="11.42578125" style="66" customWidth="1"/>
    <col min="37" max="37" width="20" style="66" customWidth="1"/>
    <col min="38" max="38" width="21.28515625" style="66" customWidth="1"/>
    <col min="39" max="41" width="11.42578125" style="66" customWidth="1"/>
    <col min="42" max="42" width="20.7109375" style="66" customWidth="1"/>
    <col min="43" max="46" width="11.42578125" style="66" customWidth="1"/>
    <col min="47" max="47" width="11.42578125" style="66" hidden="1" customWidth="1"/>
    <col min="48" max="50" width="0" style="66" hidden="1" customWidth="1"/>
    <col min="51" max="16384" width="11.42578125" style="66" hidden="1"/>
  </cols>
  <sheetData>
    <row r="1" spans="1:38" x14ac:dyDescent="0.2">
      <c r="A1" s="374"/>
      <c r="B1" s="374"/>
      <c r="C1" s="374"/>
      <c r="D1" s="374"/>
      <c r="E1" s="374"/>
      <c r="F1" s="374"/>
      <c r="G1" s="374"/>
      <c r="H1" s="374"/>
      <c r="I1" s="374"/>
      <c r="J1" s="400"/>
      <c r="K1" s="400"/>
      <c r="L1" s="400"/>
      <c r="M1" s="400"/>
      <c r="N1" s="400"/>
      <c r="O1" s="400"/>
      <c r="P1" s="400"/>
      <c r="Q1" s="400"/>
      <c r="R1" s="400"/>
      <c r="S1" s="400"/>
      <c r="T1" s="400"/>
      <c r="U1" s="400"/>
      <c r="V1" s="400"/>
      <c r="W1" s="400"/>
      <c r="X1" s="400"/>
      <c r="Y1" s="400"/>
      <c r="Z1" s="400"/>
      <c r="AA1" s="400"/>
      <c r="AB1" s="400"/>
      <c r="AC1" s="400"/>
      <c r="AD1" s="400"/>
      <c r="AE1" s="400"/>
      <c r="AF1" s="400"/>
      <c r="AG1" s="400"/>
      <c r="AH1" s="400"/>
      <c r="AI1" s="400"/>
    </row>
    <row r="2" spans="1:38" ht="26.25" x14ac:dyDescent="0.4">
      <c r="A2" s="374"/>
      <c r="B2" s="374"/>
      <c r="C2" s="458" t="s">
        <v>763</v>
      </c>
      <c r="D2" s="374"/>
      <c r="E2" s="374"/>
      <c r="F2" s="374"/>
      <c r="G2" s="1189" t="s">
        <v>539</v>
      </c>
      <c r="H2" s="1190"/>
      <c r="I2" s="899" t="s">
        <v>766</v>
      </c>
      <c r="J2" s="1191"/>
      <c r="K2" s="1190"/>
      <c r="L2" s="949" t="s">
        <v>577</v>
      </c>
      <c r="M2" s="949"/>
      <c r="O2" s="400"/>
      <c r="P2" s="399"/>
      <c r="Q2" s="399"/>
      <c r="R2" s="400"/>
      <c r="S2" s="400"/>
      <c r="T2" s="400"/>
      <c r="U2" s="400"/>
      <c r="V2" s="400"/>
      <c r="W2" s="400"/>
      <c r="X2" s="1697" t="s">
        <v>903</v>
      </c>
      <c r="Y2" s="400"/>
      <c r="Z2" s="400"/>
      <c r="AA2" s="400"/>
      <c r="AB2" s="400"/>
      <c r="AC2" s="400"/>
      <c r="AD2" s="400"/>
      <c r="AE2" s="400"/>
      <c r="AF2" s="400"/>
      <c r="AG2" s="400"/>
      <c r="AH2" s="400"/>
      <c r="AI2" s="400"/>
    </row>
    <row r="3" spans="1:38" x14ac:dyDescent="0.2">
      <c r="A3" s="374"/>
      <c r="B3" s="374"/>
      <c r="C3" s="374"/>
      <c r="D3" s="374"/>
      <c r="E3" s="374"/>
      <c r="F3" s="374"/>
      <c r="G3" s="374"/>
      <c r="H3" s="374"/>
      <c r="I3" s="374"/>
      <c r="J3" s="400"/>
      <c r="K3" s="400"/>
      <c r="L3" s="400"/>
      <c r="M3" s="400"/>
      <c r="N3" s="400"/>
      <c r="O3" s="400"/>
      <c r="P3" s="399"/>
      <c r="Q3" s="399"/>
      <c r="R3" s="400"/>
      <c r="S3" s="400"/>
      <c r="T3" s="400"/>
      <c r="U3" s="400"/>
      <c r="V3" s="400"/>
      <c r="W3" s="400"/>
      <c r="X3" s="1697"/>
      <c r="Y3" s="400"/>
      <c r="Z3" s="400"/>
      <c r="AA3" s="400"/>
      <c r="AB3" s="400"/>
      <c r="AC3" s="400"/>
      <c r="AD3" s="400"/>
      <c r="AE3" s="400"/>
      <c r="AF3" s="400"/>
      <c r="AG3" s="400"/>
      <c r="AH3" s="400"/>
      <c r="AI3" s="400"/>
    </row>
    <row r="4" spans="1:38" ht="18" x14ac:dyDescent="0.25">
      <c r="A4" s="374"/>
      <c r="B4" s="374"/>
      <c r="C4" s="374"/>
      <c r="D4" s="374"/>
      <c r="E4" s="457" t="s">
        <v>764</v>
      </c>
      <c r="F4" s="374"/>
      <c r="G4" s="374"/>
      <c r="I4" s="898" t="s">
        <v>767</v>
      </c>
      <c r="J4" s="400"/>
      <c r="K4" s="400"/>
      <c r="L4" s="400"/>
      <c r="M4" s="457" t="s">
        <v>543</v>
      </c>
      <c r="N4" s="400"/>
      <c r="O4" s="400"/>
      <c r="P4" s="399"/>
      <c r="Q4" s="399"/>
      <c r="R4" s="400"/>
      <c r="S4" s="712" t="s">
        <v>576</v>
      </c>
      <c r="U4" s="940"/>
      <c r="X4" s="1697"/>
      <c r="Y4" s="400"/>
      <c r="Z4" s="400"/>
      <c r="AA4" s="400"/>
      <c r="AB4" s="400"/>
      <c r="AC4" s="400"/>
      <c r="AD4" s="400"/>
      <c r="AE4" s="400"/>
      <c r="AF4" s="400"/>
      <c r="AG4" s="400"/>
      <c r="AH4" s="400"/>
      <c r="AI4" s="400"/>
    </row>
    <row r="5" spans="1:38" ht="18" x14ac:dyDescent="0.25">
      <c r="A5" s="374"/>
      <c r="B5" s="374"/>
      <c r="C5" s="374"/>
      <c r="D5" s="374"/>
      <c r="E5" s="374"/>
      <c r="F5" s="374"/>
      <c r="G5" s="374"/>
      <c r="H5" s="374"/>
      <c r="I5" s="400"/>
      <c r="J5" s="400"/>
      <c r="K5" s="400"/>
      <c r="L5" s="400"/>
      <c r="M5" s="400"/>
      <c r="N5" s="400"/>
      <c r="O5" s="400"/>
      <c r="P5" s="399"/>
      <c r="Q5" s="399"/>
      <c r="R5" s="400"/>
      <c r="S5" s="400"/>
      <c r="T5" s="400"/>
      <c r="U5" s="400"/>
      <c r="Y5" s="400"/>
      <c r="Z5" s="400"/>
      <c r="AA5" s="1623"/>
      <c r="AB5" s="1623"/>
      <c r="AD5" s="838"/>
      <c r="AE5" s="838"/>
      <c r="AF5" s="400"/>
      <c r="AG5" s="400"/>
      <c r="AH5" s="112"/>
      <c r="AI5" s="111"/>
    </row>
    <row r="6" spans="1:38" ht="15" x14ac:dyDescent="0.25">
      <c r="A6" s="374"/>
      <c r="B6" s="374"/>
      <c r="C6" s="374" t="s">
        <v>513</v>
      </c>
      <c r="D6" s="374"/>
      <c r="E6" s="374"/>
      <c r="F6" s="374"/>
      <c r="G6" s="374"/>
      <c r="H6" s="374"/>
      <c r="I6" s="374"/>
      <c r="J6" s="400"/>
      <c r="K6" s="400"/>
      <c r="L6" s="400" t="s">
        <v>606</v>
      </c>
      <c r="M6" s="400"/>
      <c r="N6" s="400"/>
      <c r="O6" s="400"/>
      <c r="P6" s="399"/>
      <c r="Q6" s="399"/>
      <c r="R6" s="400"/>
      <c r="S6" s="400" t="s">
        <v>585</v>
      </c>
      <c r="T6" s="400"/>
      <c r="X6" s="400"/>
      <c r="Y6" s="400"/>
      <c r="Z6" s="400"/>
      <c r="AB6" s="400"/>
      <c r="AD6" s="400"/>
      <c r="AE6" s="400"/>
      <c r="AF6" s="400"/>
      <c r="AG6" s="400"/>
      <c r="AH6" s="112"/>
      <c r="AI6" s="111"/>
    </row>
    <row r="7" spans="1:38" ht="15" x14ac:dyDescent="0.25">
      <c r="A7" s="374"/>
      <c r="B7" s="374"/>
      <c r="C7" s="374" t="s">
        <v>765</v>
      </c>
      <c r="D7" s="374"/>
      <c r="E7" s="374"/>
      <c r="F7" s="374"/>
      <c r="G7" s="374"/>
      <c r="H7" s="374"/>
      <c r="I7" s="374"/>
      <c r="J7" s="400"/>
      <c r="K7" s="400"/>
      <c r="L7" s="374" t="s">
        <v>1207</v>
      </c>
      <c r="M7" s="400"/>
      <c r="N7" s="400"/>
      <c r="O7" s="400"/>
      <c r="P7" s="400"/>
      <c r="Q7" s="400"/>
      <c r="R7" s="400"/>
      <c r="S7" s="400" t="s">
        <v>589</v>
      </c>
      <c r="T7" s="400"/>
      <c r="X7" s="400"/>
      <c r="Y7" s="400"/>
      <c r="Z7" s="400"/>
      <c r="AB7" s="400"/>
      <c r="AD7" s="400"/>
      <c r="AE7" s="400"/>
      <c r="AF7" s="400"/>
      <c r="AG7" s="400"/>
      <c r="AH7" s="112"/>
      <c r="AI7" s="111"/>
    </row>
    <row r="8" spans="1:38" ht="15" x14ac:dyDescent="0.25">
      <c r="A8" s="374"/>
      <c r="B8" s="374"/>
      <c r="C8" s="374" t="s">
        <v>515</v>
      </c>
      <c r="D8" s="374"/>
      <c r="E8" s="374"/>
      <c r="F8" s="374"/>
      <c r="G8" s="374"/>
      <c r="H8" s="374"/>
      <c r="I8" s="374"/>
      <c r="J8" s="400"/>
      <c r="K8" s="400"/>
      <c r="L8" s="400" t="s">
        <v>1209</v>
      </c>
      <c r="M8" s="400"/>
      <c r="N8" s="400"/>
      <c r="O8" s="400"/>
      <c r="P8" s="400"/>
      <c r="Q8" s="400"/>
      <c r="R8" s="400"/>
      <c r="S8" s="400" t="s">
        <v>590</v>
      </c>
      <c r="T8" s="400"/>
      <c r="X8" s="400"/>
      <c r="Y8" s="400"/>
      <c r="Z8" s="400"/>
      <c r="AB8" s="400"/>
      <c r="AD8" s="399"/>
      <c r="AE8" s="399"/>
      <c r="AF8" s="399"/>
      <c r="AG8" s="399"/>
      <c r="AH8" s="111"/>
      <c r="AI8" s="111"/>
      <c r="AJ8" s="303"/>
    </row>
    <row r="9" spans="1:38" ht="15" x14ac:dyDescent="0.25">
      <c r="A9" s="374"/>
      <c r="B9" s="374"/>
      <c r="C9" s="374" t="s">
        <v>516</v>
      </c>
      <c r="D9" s="374"/>
      <c r="E9" s="374"/>
      <c r="F9" s="374"/>
      <c r="G9" s="374"/>
      <c r="H9" s="374"/>
      <c r="I9" s="374"/>
      <c r="J9" s="400"/>
      <c r="K9" s="400"/>
      <c r="L9" s="66" t="s">
        <v>1210</v>
      </c>
      <c r="O9" s="400"/>
      <c r="P9" s="400"/>
      <c r="Q9" s="400"/>
      <c r="R9" s="400"/>
      <c r="S9" s="941" t="s">
        <v>773</v>
      </c>
      <c r="T9" s="941"/>
      <c r="U9" s="947"/>
      <c r="V9" s="943" t="s">
        <v>296</v>
      </c>
      <c r="W9" s="943"/>
      <c r="X9" s="943"/>
      <c r="Y9" s="420"/>
      <c r="Z9" s="420"/>
      <c r="AA9" s="420"/>
      <c r="AD9" s="399"/>
      <c r="AE9" s="399"/>
      <c r="AF9" s="399"/>
      <c r="AG9" s="399"/>
      <c r="AH9" s="111"/>
      <c r="AI9" s="111"/>
      <c r="AJ9" s="303"/>
    </row>
    <row r="10" spans="1:38" ht="15" x14ac:dyDescent="0.25">
      <c r="A10" s="374"/>
      <c r="B10" s="374"/>
      <c r="C10" s="374" t="s">
        <v>517</v>
      </c>
      <c r="D10" s="374"/>
      <c r="E10" s="374"/>
      <c r="F10" s="374"/>
      <c r="G10" s="374"/>
      <c r="H10" s="374"/>
      <c r="I10" s="374"/>
      <c r="J10" s="400"/>
      <c r="K10" s="400"/>
      <c r="L10" s="374" t="s">
        <v>1211</v>
      </c>
      <c r="M10" s="400"/>
      <c r="N10" s="400"/>
      <c r="O10" s="400"/>
      <c r="P10" s="400"/>
      <c r="Q10" s="400"/>
      <c r="R10" s="400"/>
      <c r="S10" s="941" t="s">
        <v>306</v>
      </c>
      <c r="T10" s="941"/>
      <c r="U10" s="114"/>
      <c r="V10" s="942" t="s">
        <v>222</v>
      </c>
      <c r="W10" s="942"/>
      <c r="X10" s="942"/>
      <c r="Y10" s="943"/>
      <c r="Z10" s="420"/>
      <c r="AA10" s="420"/>
      <c r="AD10" s="660"/>
      <c r="AE10" s="717"/>
      <c r="AF10" s="660"/>
      <c r="AG10" s="660"/>
      <c r="AH10" s="111"/>
      <c r="AI10" s="111"/>
      <c r="AJ10" s="303"/>
    </row>
    <row r="11" spans="1:38" ht="15" x14ac:dyDescent="0.25">
      <c r="A11" s="374"/>
      <c r="B11" s="374"/>
      <c r="G11" s="374"/>
      <c r="H11" s="374"/>
      <c r="I11" s="374"/>
      <c r="J11" s="400"/>
      <c r="K11" s="400"/>
      <c r="L11" s="400"/>
      <c r="M11" s="400"/>
      <c r="N11" s="400"/>
      <c r="O11" s="400"/>
      <c r="P11" s="400"/>
      <c r="Q11" s="400"/>
      <c r="R11" s="400"/>
      <c r="S11" s="114" t="s">
        <v>292</v>
      </c>
      <c r="T11" s="114"/>
      <c r="U11" s="114"/>
      <c r="V11" s="201" t="s">
        <v>937</v>
      </c>
      <c r="W11" s="114"/>
      <c r="X11" s="114"/>
      <c r="Y11" s="420"/>
      <c r="Z11" s="420"/>
      <c r="AA11" s="420"/>
      <c r="AD11" s="660"/>
      <c r="AE11" s="663"/>
      <c r="AF11" s="663"/>
      <c r="AG11" s="663"/>
      <c r="AH11" s="111"/>
      <c r="AI11" s="111"/>
      <c r="AJ11" s="303"/>
    </row>
    <row r="12" spans="1:38" ht="15" thickBot="1" x14ac:dyDescent="0.25"/>
    <row r="13" spans="1:38" ht="15.75" thickBot="1" x14ac:dyDescent="0.3">
      <c r="B13" s="256"/>
      <c r="C13" s="193"/>
      <c r="D13" s="193"/>
      <c r="E13" s="193"/>
      <c r="F13" s="193"/>
      <c r="G13" s="193"/>
      <c r="H13" s="836"/>
      <c r="J13" s="256"/>
      <c r="K13" s="193"/>
      <c r="L13" s="193"/>
      <c r="M13" s="193"/>
      <c r="N13" s="193"/>
      <c r="O13" s="193"/>
      <c r="P13" s="193"/>
      <c r="Q13" s="836"/>
      <c r="S13" s="48"/>
      <c r="T13" s="33"/>
      <c r="U13" s="33"/>
      <c r="V13" s="33"/>
      <c r="W13" s="33"/>
      <c r="X13" s="33"/>
      <c r="Y13" s="33"/>
      <c r="Z13" s="674"/>
      <c r="AC13" s="106"/>
      <c r="AD13" s="197" t="s">
        <v>288</v>
      </c>
    </row>
    <row r="14" spans="1:38" ht="18" customHeight="1" thickBot="1" x14ac:dyDescent="0.3">
      <c r="B14" s="779"/>
      <c r="C14" s="1778" t="s">
        <v>253</v>
      </c>
      <c r="D14" s="1779"/>
      <c r="E14" s="1780" t="s">
        <v>319</v>
      </c>
      <c r="F14" s="1781"/>
      <c r="G14" s="1782"/>
      <c r="H14" s="780"/>
      <c r="J14" s="412"/>
      <c r="K14" s="783" t="s">
        <v>665</v>
      </c>
      <c r="L14" s="774"/>
      <c r="M14" s="776" t="s">
        <v>544</v>
      </c>
      <c r="N14" s="777"/>
      <c r="O14" s="778"/>
      <c r="P14" s="137"/>
      <c r="Q14" s="780"/>
      <c r="S14" s="25"/>
      <c r="T14" s="137"/>
      <c r="U14" s="26"/>
      <c r="V14" s="26"/>
      <c r="W14" s="26"/>
      <c r="X14" s="26"/>
      <c r="Y14" s="26"/>
      <c r="Z14" s="675"/>
      <c r="AC14" s="106"/>
      <c r="AD14" s="175"/>
    </row>
    <row r="15" spans="1:38" ht="16.5" x14ac:dyDescent="0.3">
      <c r="B15" s="779"/>
      <c r="C15" s="1787" t="s">
        <v>664</v>
      </c>
      <c r="D15" s="1785" t="s">
        <v>681</v>
      </c>
      <c r="E15" s="759" t="s">
        <v>271</v>
      </c>
      <c r="F15" s="760" t="s">
        <v>225</v>
      </c>
      <c r="G15" s="770" t="s">
        <v>12</v>
      </c>
      <c r="H15" s="780"/>
      <c r="J15" s="412"/>
      <c r="K15" s="786" t="s">
        <v>658</v>
      </c>
      <c r="L15" s="1834" t="s">
        <v>687</v>
      </c>
      <c r="M15" s="1836" t="s">
        <v>674</v>
      </c>
      <c r="N15" s="1838" t="s">
        <v>675</v>
      </c>
      <c r="O15" s="1840" t="s">
        <v>676</v>
      </c>
      <c r="P15" s="137"/>
      <c r="Q15" s="780"/>
      <c r="S15" s="25"/>
      <c r="T15" s="26"/>
      <c r="U15" s="26"/>
      <c r="V15" s="26"/>
      <c r="W15" s="26"/>
      <c r="X15" s="34"/>
      <c r="Y15" s="26"/>
      <c r="Z15" s="675"/>
      <c r="AC15" s="190"/>
      <c r="AD15" s="1796" t="s">
        <v>637</v>
      </c>
      <c r="AE15" s="1798" t="s">
        <v>313</v>
      </c>
      <c r="AF15" s="1800" t="s">
        <v>196</v>
      </c>
      <c r="AG15" s="1796" t="s">
        <v>201</v>
      </c>
      <c r="AH15" s="1802"/>
      <c r="AI15" s="1804"/>
      <c r="AJ15" s="1796" t="s">
        <v>200</v>
      </c>
      <c r="AK15" s="1802"/>
      <c r="AL15" s="1804"/>
    </row>
    <row r="16" spans="1:38" ht="48" customHeight="1" thickBot="1" x14ac:dyDescent="0.3">
      <c r="B16" s="779"/>
      <c r="C16" s="1788"/>
      <c r="D16" s="1786"/>
      <c r="E16" s="761" t="s">
        <v>518</v>
      </c>
      <c r="F16" s="762" t="s">
        <v>518</v>
      </c>
      <c r="G16" s="771" t="s">
        <v>682</v>
      </c>
      <c r="H16" s="780"/>
      <c r="J16" s="412"/>
      <c r="K16" s="504" t="s">
        <v>195</v>
      </c>
      <c r="L16" s="1835"/>
      <c r="M16" s="1837"/>
      <c r="N16" s="1839"/>
      <c r="O16" s="1841"/>
      <c r="P16" s="137"/>
      <c r="Q16" s="780"/>
      <c r="S16" s="25"/>
      <c r="T16" s="1833" t="s">
        <v>20</v>
      </c>
      <c r="U16" s="26"/>
      <c r="V16" s="26"/>
      <c r="W16" s="26"/>
      <c r="X16" s="26"/>
      <c r="Y16" s="26"/>
      <c r="Z16" s="675"/>
      <c r="AC16" s="190"/>
      <c r="AD16" s="1797"/>
      <c r="AE16" s="1799"/>
      <c r="AF16" s="1801"/>
      <c r="AG16" s="1797"/>
      <c r="AH16" s="1803"/>
      <c r="AI16" s="1805"/>
      <c r="AJ16" s="1797"/>
      <c r="AK16" s="1803"/>
      <c r="AL16" s="1805"/>
    </row>
    <row r="17" spans="2:45" ht="18" customHeight="1" x14ac:dyDescent="0.2">
      <c r="B17" s="779"/>
      <c r="C17" s="792" t="s">
        <v>203</v>
      </c>
      <c r="D17" s="1561"/>
      <c r="E17" s="900">
        <f>$D17*Fleischverarbeitung!AE28</f>
        <v>0</v>
      </c>
      <c r="F17" s="901">
        <f>$D17*Fleischverarbeitung!AF28</f>
        <v>0</v>
      </c>
      <c r="G17" s="902">
        <f>$D17*Fleischverarbeitung!AG28</f>
        <v>0</v>
      </c>
      <c r="H17" s="780"/>
      <c r="J17" s="412"/>
      <c r="K17" s="787" t="str">
        <f>C17</f>
        <v>Rind</v>
      </c>
      <c r="L17" s="788">
        <f>D17</f>
        <v>0</v>
      </c>
      <c r="M17" s="784">
        <f>0.6*O17</f>
        <v>0</v>
      </c>
      <c r="N17" s="785">
        <f>0.4*O17</f>
        <v>0</v>
      </c>
      <c r="O17" s="493">
        <f>$D17*Fleischverarbeitung!AH28</f>
        <v>0</v>
      </c>
      <c r="P17" s="137"/>
      <c r="Q17" s="780"/>
      <c r="S17" s="25"/>
      <c r="T17" s="1833"/>
      <c r="U17" s="26"/>
      <c r="V17" s="26"/>
      <c r="W17" s="635"/>
      <c r="X17" s="635"/>
      <c r="Y17" s="26"/>
      <c r="Z17" s="675"/>
      <c r="AC17" s="190"/>
      <c r="AD17" s="128" t="s">
        <v>195</v>
      </c>
      <c r="AE17" s="129"/>
      <c r="AF17" s="130"/>
      <c r="AG17" s="131" t="s">
        <v>197</v>
      </c>
      <c r="AH17" s="227" t="s">
        <v>198</v>
      </c>
      <c r="AI17" s="159" t="s">
        <v>199</v>
      </c>
      <c r="AJ17" s="131" t="s">
        <v>197</v>
      </c>
      <c r="AK17" s="227" t="s">
        <v>198</v>
      </c>
      <c r="AL17" s="159" t="s">
        <v>199</v>
      </c>
    </row>
    <row r="18" spans="2:45" ht="18" customHeight="1" thickBot="1" x14ac:dyDescent="0.25">
      <c r="B18" s="779"/>
      <c r="C18" s="793" t="s">
        <v>204</v>
      </c>
      <c r="D18" s="1566"/>
      <c r="E18" s="903">
        <f>$D18*Fleischverarbeitung!AE29</f>
        <v>0</v>
      </c>
      <c r="F18" s="904">
        <f>$D18*Fleischverarbeitung!AF29</f>
        <v>0</v>
      </c>
      <c r="G18" s="905">
        <f>$D18*Fleischverarbeitung!AG29</f>
        <v>0</v>
      </c>
      <c r="H18" s="780"/>
      <c r="J18" s="412"/>
      <c r="K18" s="501" t="str">
        <f t="shared" ref="K18:K21" si="0">C18</f>
        <v>Schwein</v>
      </c>
      <c r="L18" s="494">
        <f t="shared" ref="L18:L21" si="1">D18</f>
        <v>0</v>
      </c>
      <c r="M18" s="496">
        <f t="shared" ref="M18:M21" si="2">0.6*O18</f>
        <v>0</v>
      </c>
      <c r="N18" s="497">
        <f t="shared" ref="N18:N21" si="3">0.4*O18</f>
        <v>0</v>
      </c>
      <c r="O18" s="494">
        <f>$D18*Fleischverarbeitung!AH29</f>
        <v>0</v>
      </c>
      <c r="P18" s="137"/>
      <c r="Q18" s="780"/>
      <c r="S18" s="25"/>
      <c r="T18" s="1833"/>
      <c r="U18" s="26"/>
      <c r="V18" s="26"/>
      <c r="W18" s="26"/>
      <c r="X18" s="26"/>
      <c r="Y18" s="26"/>
      <c r="Z18" s="675"/>
      <c r="AD18" s="122"/>
      <c r="AE18" s="123"/>
      <c r="AF18" s="124"/>
      <c r="AG18" s="125" t="s">
        <v>202</v>
      </c>
      <c r="AH18" s="126" t="s">
        <v>202</v>
      </c>
      <c r="AI18" s="127" t="s">
        <v>202</v>
      </c>
      <c r="AJ18" s="125" t="s">
        <v>202</v>
      </c>
      <c r="AK18" s="126" t="s">
        <v>202</v>
      </c>
      <c r="AL18" s="127" t="s">
        <v>202</v>
      </c>
    </row>
    <row r="19" spans="2:45" ht="18" customHeight="1" x14ac:dyDescent="0.2">
      <c r="B19" s="779"/>
      <c r="C19" s="793" t="s">
        <v>205</v>
      </c>
      <c r="D19" s="1566"/>
      <c r="E19" s="903">
        <f>$D19*Fleischverarbeitung!AE30</f>
        <v>0</v>
      </c>
      <c r="F19" s="904">
        <f>$D19*Fleischverarbeitung!AF30</f>
        <v>0</v>
      </c>
      <c r="G19" s="905">
        <f>$D19*Fleischverarbeitung!AG30</f>
        <v>0</v>
      </c>
      <c r="H19" s="780"/>
      <c r="J19" s="412"/>
      <c r="K19" s="501" t="str">
        <f t="shared" si="0"/>
        <v>Kalb</v>
      </c>
      <c r="L19" s="494">
        <f t="shared" si="1"/>
        <v>0</v>
      </c>
      <c r="M19" s="496">
        <f t="shared" si="2"/>
        <v>0</v>
      </c>
      <c r="N19" s="497">
        <f t="shared" si="3"/>
        <v>0</v>
      </c>
      <c r="O19" s="494">
        <f>$D19*Fleischverarbeitung!AH30</f>
        <v>0</v>
      </c>
      <c r="P19" s="137"/>
      <c r="Q19" s="780"/>
      <c r="S19" s="25"/>
      <c r="T19" s="1833"/>
      <c r="U19" s="26"/>
      <c r="V19" s="26"/>
      <c r="W19" s="26"/>
      <c r="X19" s="26"/>
      <c r="Y19" s="26"/>
      <c r="Z19" s="675"/>
      <c r="AD19" s="128" t="s">
        <v>203</v>
      </c>
      <c r="AE19" s="129">
        <v>500</v>
      </c>
      <c r="AF19" s="130">
        <v>286</v>
      </c>
      <c r="AG19" s="131">
        <v>15.5</v>
      </c>
      <c r="AH19" s="129">
        <v>53.9</v>
      </c>
      <c r="AI19" s="132">
        <v>15.1</v>
      </c>
      <c r="AJ19" s="133">
        <v>4.63</v>
      </c>
      <c r="AK19" s="129">
        <v>29.65</v>
      </c>
      <c r="AL19" s="132">
        <v>13.59</v>
      </c>
      <c r="AM19" s="67"/>
      <c r="AN19" s="67"/>
    </row>
    <row r="20" spans="2:45" ht="18" customHeight="1" x14ac:dyDescent="0.2">
      <c r="B20" s="779"/>
      <c r="C20" s="793" t="s">
        <v>206</v>
      </c>
      <c r="D20" s="1566"/>
      <c r="E20" s="903">
        <f>$D20*Fleischverarbeitung!AE31</f>
        <v>0</v>
      </c>
      <c r="F20" s="904">
        <f>$D20*Fleischverarbeitung!AF31</f>
        <v>0</v>
      </c>
      <c r="G20" s="905">
        <f>$D20*Fleischverarbeitung!AG31</f>
        <v>0</v>
      </c>
      <c r="H20" s="780"/>
      <c r="J20" s="779"/>
      <c r="K20" s="501" t="str">
        <f t="shared" si="0"/>
        <v>Schaf</v>
      </c>
      <c r="L20" s="494">
        <f t="shared" si="1"/>
        <v>0</v>
      </c>
      <c r="M20" s="496">
        <f t="shared" si="2"/>
        <v>0</v>
      </c>
      <c r="N20" s="497">
        <f t="shared" si="3"/>
        <v>0</v>
      </c>
      <c r="O20" s="494">
        <f>$D20*Fleischverarbeitung!AH31</f>
        <v>0</v>
      </c>
      <c r="P20" s="137"/>
      <c r="Q20" s="780"/>
      <c r="S20" s="25"/>
      <c r="T20" s="1833"/>
      <c r="U20" s="26"/>
      <c r="V20" s="26"/>
      <c r="W20" s="26"/>
      <c r="X20" s="26"/>
      <c r="Y20" s="26"/>
      <c r="Z20" s="675"/>
      <c r="AD20" s="116" t="s">
        <v>204</v>
      </c>
      <c r="AE20" s="117">
        <v>112</v>
      </c>
      <c r="AF20" s="118">
        <v>87</v>
      </c>
      <c r="AG20" s="71">
        <v>3.5</v>
      </c>
      <c r="AH20" s="117">
        <v>0.46</v>
      </c>
      <c r="AI20" s="135">
        <v>2.87</v>
      </c>
      <c r="AJ20" s="136">
        <v>1.05</v>
      </c>
      <c r="AK20" s="117">
        <v>0.39</v>
      </c>
      <c r="AL20" s="135">
        <v>1.1499999999999999</v>
      </c>
      <c r="AM20" s="67"/>
      <c r="AN20" s="67"/>
    </row>
    <row r="21" spans="2:45" ht="18" customHeight="1" thickBot="1" x14ac:dyDescent="0.25">
      <c r="B21" s="779"/>
      <c r="C21" s="794" t="s">
        <v>207</v>
      </c>
      <c r="D21" s="1568"/>
      <c r="E21" s="906">
        <f>$D21*Fleischverarbeitung!AE32</f>
        <v>0</v>
      </c>
      <c r="F21" s="907">
        <f>$D21*Fleischverarbeitung!AF32</f>
        <v>0</v>
      </c>
      <c r="G21" s="908">
        <f>$D21*Fleischverarbeitung!AG32</f>
        <v>0</v>
      </c>
      <c r="H21" s="780"/>
      <c r="J21" s="779"/>
      <c r="K21" s="831" t="str">
        <f t="shared" si="0"/>
        <v>Geflügel</v>
      </c>
      <c r="L21" s="495">
        <f t="shared" si="1"/>
        <v>0</v>
      </c>
      <c r="M21" s="832">
        <f t="shared" si="2"/>
        <v>0</v>
      </c>
      <c r="N21" s="833">
        <f t="shared" si="3"/>
        <v>0</v>
      </c>
      <c r="O21" s="495">
        <f>$D21*Fleischverarbeitung!AH32</f>
        <v>0</v>
      </c>
      <c r="P21" s="137"/>
      <c r="Q21" s="780"/>
      <c r="S21" s="25"/>
      <c r="T21" s="26"/>
      <c r="U21" s="26"/>
      <c r="V21" s="26"/>
      <c r="W21" s="26"/>
      <c r="X21" s="26"/>
      <c r="Y21" s="26"/>
      <c r="Z21" s="675"/>
      <c r="AD21" s="116" t="s">
        <v>205</v>
      </c>
      <c r="AE21" s="117">
        <v>135</v>
      </c>
      <c r="AF21" s="118">
        <v>84</v>
      </c>
      <c r="AG21" s="71">
        <v>4.5</v>
      </c>
      <c r="AH21" s="119"/>
      <c r="AI21" s="135">
        <v>6.3</v>
      </c>
      <c r="AJ21" s="136">
        <v>1.35</v>
      </c>
      <c r="AK21" s="1813">
        <v>1.89</v>
      </c>
      <c r="AL21" s="1814"/>
      <c r="AM21" s="67"/>
      <c r="AN21" s="67"/>
    </row>
    <row r="22" spans="2:45" ht="18" customHeight="1" thickBot="1" x14ac:dyDescent="0.25">
      <c r="B22" s="779"/>
      <c r="C22" s="795" t="s">
        <v>254</v>
      </c>
      <c r="D22" s="772">
        <f>SUM(D17:D21)</f>
        <v>0</v>
      </c>
      <c r="E22" s="909">
        <f>SUM(E17:E21)</f>
        <v>0</v>
      </c>
      <c r="F22" s="910">
        <f>SUM(F17:F21)</f>
        <v>0</v>
      </c>
      <c r="G22" s="911">
        <f>SUM(G17:G21)</f>
        <v>0</v>
      </c>
      <c r="H22" s="780"/>
      <c r="J22" s="779"/>
      <c r="K22" s="779"/>
      <c r="L22" s="137"/>
      <c r="M22" s="137"/>
      <c r="N22" s="137"/>
      <c r="O22" s="137"/>
      <c r="P22" s="137"/>
      <c r="Q22" s="780"/>
      <c r="S22" s="25"/>
      <c r="T22" s="45" t="s">
        <v>109</v>
      </c>
      <c r="U22" s="26"/>
      <c r="V22" s="26"/>
      <c r="W22" s="26"/>
      <c r="X22" s="26"/>
      <c r="Y22" s="26"/>
      <c r="Z22" s="675"/>
      <c r="AD22" s="116" t="s">
        <v>206</v>
      </c>
      <c r="AE22" s="117">
        <v>48</v>
      </c>
      <c r="AF22" s="118">
        <v>24</v>
      </c>
      <c r="AG22" s="71">
        <v>1.63</v>
      </c>
      <c r="AH22" s="119"/>
      <c r="AI22" s="135">
        <v>1.92</v>
      </c>
      <c r="AJ22" s="136">
        <v>0.49</v>
      </c>
      <c r="AK22" s="1813">
        <v>0.38</v>
      </c>
      <c r="AL22" s="1814"/>
      <c r="AM22" s="67"/>
      <c r="AN22" s="67"/>
    </row>
    <row r="23" spans="2:45" ht="15" thickBot="1" x14ac:dyDescent="0.25">
      <c r="B23" s="779"/>
      <c r="C23" s="137"/>
      <c r="D23" s="137"/>
      <c r="E23" s="137"/>
      <c r="F23" s="137"/>
      <c r="G23" s="137"/>
      <c r="H23" s="780"/>
      <c r="J23" s="779"/>
      <c r="K23" s="256"/>
      <c r="L23" s="193"/>
      <c r="M23" s="834" t="s">
        <v>555</v>
      </c>
      <c r="N23" s="834" t="s">
        <v>555</v>
      </c>
      <c r="O23" s="835" t="s">
        <v>555</v>
      </c>
      <c r="P23" s="137"/>
      <c r="Q23" s="780"/>
      <c r="S23" s="25"/>
      <c r="T23" s="26" t="s">
        <v>147</v>
      </c>
      <c r="U23" s="26"/>
      <c r="V23" s="26"/>
      <c r="W23" s="26"/>
      <c r="X23" s="26"/>
      <c r="Y23" s="26"/>
      <c r="Z23" s="675"/>
      <c r="AD23" s="122" t="s">
        <v>207</v>
      </c>
      <c r="AE23" s="123">
        <v>1.45</v>
      </c>
      <c r="AF23" s="124">
        <v>1</v>
      </c>
      <c r="AG23" s="125">
        <v>0.05</v>
      </c>
      <c r="AH23" s="126"/>
      <c r="AI23" s="127"/>
      <c r="AJ23" s="1810">
        <v>5.0000000000000001E-3</v>
      </c>
      <c r="AK23" s="1811"/>
      <c r="AL23" s="1812"/>
      <c r="AM23" s="134"/>
      <c r="AN23" s="67"/>
    </row>
    <row r="24" spans="2:45" ht="18" customHeight="1" thickBot="1" x14ac:dyDescent="0.3">
      <c r="B24" s="779"/>
      <c r="C24" s="1778" t="s">
        <v>255</v>
      </c>
      <c r="D24" s="1779"/>
      <c r="E24" s="1780" t="s">
        <v>319</v>
      </c>
      <c r="F24" s="1781"/>
      <c r="G24" s="1782"/>
      <c r="H24" s="780"/>
      <c r="J24" s="779"/>
      <c r="K24" s="789" t="s">
        <v>14</v>
      </c>
      <c r="L24" s="790"/>
      <c r="M24" s="781">
        <f>SUM(M17:M21)</f>
        <v>0</v>
      </c>
      <c r="N24" s="782">
        <f>SUM(N17:N21)</f>
        <v>0</v>
      </c>
      <c r="O24" s="769">
        <f>SUM(O17:O21)</f>
        <v>0</v>
      </c>
      <c r="P24" s="137"/>
      <c r="Q24" s="780"/>
      <c r="S24" s="25"/>
      <c r="T24" s="26" t="s">
        <v>110</v>
      </c>
      <c r="U24" s="26"/>
      <c r="V24" s="26"/>
      <c r="W24" s="26"/>
      <c r="X24" s="26"/>
      <c r="Y24" s="26"/>
      <c r="Z24" s="675"/>
      <c r="AD24" s="66"/>
      <c r="AE24" s="66"/>
      <c r="AF24" s="66"/>
      <c r="AM24" s="134"/>
      <c r="AN24" s="67"/>
    </row>
    <row r="25" spans="2:45" ht="17.25" thickBot="1" x14ac:dyDescent="0.35">
      <c r="B25" s="779"/>
      <c r="C25" s="1787" t="s">
        <v>195</v>
      </c>
      <c r="D25" s="1785" t="s">
        <v>472</v>
      </c>
      <c r="E25" s="759" t="s">
        <v>271</v>
      </c>
      <c r="F25" s="760" t="s">
        <v>225</v>
      </c>
      <c r="G25" s="770" t="s">
        <v>12</v>
      </c>
      <c r="H25" s="780"/>
      <c r="J25" s="779"/>
      <c r="K25" s="137"/>
      <c r="L25" s="137"/>
      <c r="M25" s="137"/>
      <c r="N25" s="137"/>
      <c r="O25" s="137"/>
      <c r="P25" s="137"/>
      <c r="Q25" s="780"/>
      <c r="S25" s="25"/>
      <c r="T25" s="26" t="s">
        <v>111</v>
      </c>
      <c r="U25" s="26"/>
      <c r="V25" s="26"/>
      <c r="W25" s="26"/>
      <c r="X25" s="26"/>
      <c r="Y25" s="26"/>
      <c r="Z25" s="675"/>
      <c r="AD25" s="1789" t="s">
        <v>642</v>
      </c>
      <c r="AE25" s="1826" t="s">
        <v>208</v>
      </c>
      <c r="AF25" s="1802" t="s">
        <v>209</v>
      </c>
      <c r="AG25" s="1802" t="s">
        <v>210</v>
      </c>
      <c r="AH25" s="1829" t="s">
        <v>1212</v>
      </c>
      <c r="AK25" s="1806" t="s">
        <v>641</v>
      </c>
      <c r="AL25" s="1808" t="s">
        <v>208</v>
      </c>
      <c r="AM25" s="1802" t="s">
        <v>209</v>
      </c>
      <c r="AN25" s="1804" t="s">
        <v>210</v>
      </c>
      <c r="AP25" s="1816" t="s">
        <v>640</v>
      </c>
    </row>
    <row r="26" spans="2:45" ht="18" thickBot="1" x14ac:dyDescent="0.3">
      <c r="B26" s="779"/>
      <c r="C26" s="1788"/>
      <c r="D26" s="1786"/>
      <c r="E26" s="761" t="s">
        <v>518</v>
      </c>
      <c r="F26" s="762" t="s">
        <v>518</v>
      </c>
      <c r="G26" s="771" t="s">
        <v>682</v>
      </c>
      <c r="H26" s="780"/>
      <c r="J26" s="779"/>
      <c r="K26" s="1690" t="s">
        <v>556</v>
      </c>
      <c r="L26" s="1691"/>
      <c r="M26" s="1548" t="s">
        <v>260</v>
      </c>
      <c r="N26" s="529" t="s">
        <v>1222</v>
      </c>
      <c r="O26" s="114"/>
      <c r="P26" s="137"/>
      <c r="Q26" s="780"/>
      <c r="S26" s="25"/>
      <c r="T26" s="80"/>
      <c r="U26" s="896"/>
      <c r="V26" s="100"/>
      <c r="W26" s="81"/>
      <c r="X26" s="81"/>
      <c r="Y26" s="81"/>
      <c r="Z26" s="675"/>
      <c r="AD26" s="1790"/>
      <c r="AE26" s="1827"/>
      <c r="AF26" s="1828"/>
      <c r="AG26" s="1828"/>
      <c r="AH26" s="1814"/>
      <c r="AK26" s="1807"/>
      <c r="AL26" s="1809"/>
      <c r="AM26" s="1803"/>
      <c r="AN26" s="1805"/>
      <c r="AP26" s="1817"/>
      <c r="AQ26" s="138" t="s">
        <v>208</v>
      </c>
      <c r="AR26" s="139" t="s">
        <v>209</v>
      </c>
      <c r="AS26" s="140" t="s">
        <v>210</v>
      </c>
    </row>
    <row r="27" spans="2:45" ht="18" customHeight="1" thickBot="1" x14ac:dyDescent="0.3">
      <c r="B27" s="779"/>
      <c r="C27" s="792" t="s">
        <v>203</v>
      </c>
      <c r="D27" s="1561"/>
      <c r="E27" s="915">
        <f>D27*Fleischverarbeitung!AL28</f>
        <v>0</v>
      </c>
      <c r="F27" s="916">
        <f>D27*Fleischverarbeitung!AM28</f>
        <v>0</v>
      </c>
      <c r="G27" s="917">
        <f>D27*Fleischverarbeitung!AN28</f>
        <v>0</v>
      </c>
      <c r="H27" s="780"/>
      <c r="J27" s="779"/>
      <c r="K27" s="1649" t="s">
        <v>557</v>
      </c>
      <c r="L27" s="1650"/>
      <c r="M27" s="1557"/>
      <c r="N27" s="727">
        <f>M27*10</f>
        <v>0</v>
      </c>
      <c r="O27" s="1842" t="s">
        <v>1231</v>
      </c>
      <c r="P27" s="1843"/>
      <c r="Q27" s="780"/>
      <c r="S27" s="25"/>
      <c r="T27" s="209"/>
      <c r="U27" s="896"/>
      <c r="V27" s="896"/>
      <c r="W27" s="713"/>
      <c r="X27" s="713"/>
      <c r="Y27" s="713"/>
      <c r="Z27" s="675"/>
      <c r="AD27" s="152"/>
      <c r="AE27" s="216" t="s">
        <v>212</v>
      </c>
      <c r="AF27" s="217" t="s">
        <v>212</v>
      </c>
      <c r="AG27" s="126" t="s">
        <v>211</v>
      </c>
      <c r="AH27" s="127" t="s">
        <v>662</v>
      </c>
      <c r="AK27" s="142" t="s">
        <v>256</v>
      </c>
      <c r="AL27" s="228" t="s">
        <v>212</v>
      </c>
      <c r="AM27" s="229" t="s">
        <v>212</v>
      </c>
      <c r="AN27" s="230" t="s">
        <v>211</v>
      </c>
      <c r="AP27" s="1818" t="s">
        <v>314</v>
      </c>
      <c r="AQ27" s="143" t="s">
        <v>202</v>
      </c>
      <c r="AR27" s="144" t="s">
        <v>202</v>
      </c>
      <c r="AS27" s="145" t="s">
        <v>227</v>
      </c>
    </row>
    <row r="28" spans="2:45" ht="18" customHeight="1" thickBot="1" x14ac:dyDescent="0.25">
      <c r="B28" s="779"/>
      <c r="C28" s="793" t="s">
        <v>204</v>
      </c>
      <c r="D28" s="1566"/>
      <c r="E28" s="918">
        <f>D28*Fleischverarbeitung!AL29</f>
        <v>0</v>
      </c>
      <c r="F28" s="919">
        <f>D28*Fleischverarbeitung!AM29</f>
        <v>0</v>
      </c>
      <c r="G28" s="920">
        <f>D28*Fleischverarbeitung!AN29</f>
        <v>0</v>
      </c>
      <c r="H28" s="780"/>
      <c r="J28" s="779"/>
      <c r="K28" s="1649" t="s">
        <v>558</v>
      </c>
      <c r="L28" s="1650"/>
      <c r="M28" s="1557"/>
      <c r="N28" s="791">
        <f>M28*10</f>
        <v>0</v>
      </c>
      <c r="O28" s="1794" t="s">
        <v>1230</v>
      </c>
      <c r="P28" s="1795"/>
      <c r="Q28" s="780"/>
      <c r="S28" s="48"/>
      <c r="T28" s="840" t="s">
        <v>75</v>
      </c>
      <c r="U28" s="840"/>
      <c r="V28" s="840"/>
      <c r="W28" s="33"/>
      <c r="X28" s="33"/>
      <c r="Y28" s="33"/>
      <c r="Z28" s="674"/>
      <c r="AD28" s="763" t="s">
        <v>203</v>
      </c>
      <c r="AE28" s="764">
        <v>1.1000000000000001</v>
      </c>
      <c r="AF28" s="765">
        <v>2.67</v>
      </c>
      <c r="AG28" s="766">
        <v>0.5</v>
      </c>
      <c r="AH28" s="725">
        <f>$AM$37*AE19</f>
        <v>575</v>
      </c>
      <c r="AK28" s="146" t="s">
        <v>203</v>
      </c>
      <c r="AL28" s="147">
        <f>0.02*AE28</f>
        <v>2.2000000000000002E-2</v>
      </c>
      <c r="AM28" s="147">
        <f>0.02*AF28</f>
        <v>5.3400000000000003E-2</v>
      </c>
      <c r="AN28" s="148">
        <f>0.11*AG28</f>
        <v>5.5E-2</v>
      </c>
      <c r="AP28" s="1819"/>
      <c r="AQ28" s="183">
        <v>0.8</v>
      </c>
      <c r="AR28" s="184">
        <v>1.1499999999999999</v>
      </c>
      <c r="AS28" s="185">
        <v>0.6</v>
      </c>
    </row>
    <row r="29" spans="2:45" ht="18" customHeight="1" thickBot="1" x14ac:dyDescent="0.25">
      <c r="B29" s="779"/>
      <c r="C29" s="793" t="s">
        <v>205</v>
      </c>
      <c r="D29" s="1566"/>
      <c r="E29" s="918">
        <f>D29*Fleischverarbeitung!AL30</f>
        <v>0</v>
      </c>
      <c r="F29" s="919">
        <f>D29*Fleischverarbeitung!AM30</f>
        <v>0</v>
      </c>
      <c r="G29" s="920">
        <f>D29*Fleischverarbeitung!AN30</f>
        <v>0</v>
      </c>
      <c r="H29" s="780"/>
      <c r="J29" s="779"/>
      <c r="K29" s="1692" t="s">
        <v>559</v>
      </c>
      <c r="L29" s="1693"/>
      <c r="M29" s="1558"/>
      <c r="N29" s="276"/>
      <c r="O29" s="1458" t="s">
        <v>1223</v>
      </c>
      <c r="P29" s="497">
        <f>$M$29*AH46/100*0.2</f>
        <v>0</v>
      </c>
      <c r="Q29" s="780"/>
      <c r="S29" s="25"/>
      <c r="T29" s="1793" t="s">
        <v>264</v>
      </c>
      <c r="U29" s="1793"/>
      <c r="V29" s="1793"/>
      <c r="W29" s="1793"/>
      <c r="X29" s="1793"/>
      <c r="Y29" s="1559" t="s">
        <v>11</v>
      </c>
      <c r="Z29" s="675"/>
      <c r="AD29" s="149" t="s">
        <v>204</v>
      </c>
      <c r="AE29" s="186">
        <v>0.21</v>
      </c>
      <c r="AF29" s="150">
        <v>0.35</v>
      </c>
      <c r="AG29" s="103">
        <v>0.2</v>
      </c>
      <c r="AH29" s="767">
        <f t="shared" ref="AH29:AH32" si="4">$AM$37*AE20</f>
        <v>128.79999999999998</v>
      </c>
      <c r="AK29" s="151" t="s">
        <v>204</v>
      </c>
      <c r="AL29" s="176">
        <f>0.036*AE29</f>
        <v>7.559999999999999E-3</v>
      </c>
      <c r="AM29" s="176">
        <f>0.031*AF29</f>
        <v>1.0849999999999999E-2</v>
      </c>
      <c r="AN29" s="177">
        <f>0.09*AG29</f>
        <v>1.7999999999999999E-2</v>
      </c>
      <c r="AP29" s="180"/>
      <c r="AQ29" s="181"/>
      <c r="AR29" s="181"/>
      <c r="AS29" s="181"/>
    </row>
    <row r="30" spans="2:45" ht="18" customHeight="1" x14ac:dyDescent="0.2">
      <c r="B30" s="779"/>
      <c r="C30" s="793" t="s">
        <v>206</v>
      </c>
      <c r="D30" s="1566"/>
      <c r="E30" s="918">
        <f>D30*Fleischverarbeitung!AL31</f>
        <v>0</v>
      </c>
      <c r="F30" s="919">
        <f>D30*Fleischverarbeitung!AM31</f>
        <v>0</v>
      </c>
      <c r="G30" s="920">
        <f>D30*Fleischverarbeitung!AN31</f>
        <v>0</v>
      </c>
      <c r="H30" s="780"/>
      <c r="J30" s="779"/>
      <c r="K30" s="137"/>
      <c r="L30" s="114"/>
      <c r="M30" s="114"/>
      <c r="N30" s="114"/>
      <c r="O30" s="1595" t="s">
        <v>1224</v>
      </c>
      <c r="P30" s="497">
        <f t="shared" ref="P30:P35" si="5">$M$29*AH47/100*0.2</f>
        <v>0</v>
      </c>
      <c r="Q30" s="780"/>
      <c r="S30" s="25"/>
      <c r="T30" s="1793" t="s">
        <v>265</v>
      </c>
      <c r="U30" s="1793"/>
      <c r="V30" s="1793"/>
      <c r="W30" s="1793"/>
      <c r="X30" s="1793"/>
      <c r="Y30" s="1559" t="s">
        <v>11</v>
      </c>
      <c r="Z30" s="675"/>
      <c r="AD30" s="149" t="s">
        <v>205</v>
      </c>
      <c r="AE30" s="186">
        <v>0.2</v>
      </c>
      <c r="AF30" s="150">
        <v>0.67</v>
      </c>
      <c r="AG30" s="103">
        <v>0.2</v>
      </c>
      <c r="AH30" s="767">
        <f t="shared" si="4"/>
        <v>155.25</v>
      </c>
      <c r="AK30" s="151" t="s">
        <v>205</v>
      </c>
      <c r="AL30" s="176">
        <f>0.043*AE30</f>
        <v>8.6E-3</v>
      </c>
      <c r="AM30" s="176">
        <f>0.038*AF30</f>
        <v>2.546E-2</v>
      </c>
      <c r="AN30" s="177">
        <f>0.108*AG30</f>
        <v>2.1600000000000001E-2</v>
      </c>
      <c r="AP30" s="180"/>
      <c r="AQ30" s="181"/>
      <c r="AR30" s="181"/>
      <c r="AS30" s="181"/>
    </row>
    <row r="31" spans="2:45" ht="18" customHeight="1" thickBot="1" x14ac:dyDescent="0.25">
      <c r="B31" s="779"/>
      <c r="C31" s="794" t="s">
        <v>207</v>
      </c>
      <c r="D31" s="1568"/>
      <c r="E31" s="921">
        <f>D31*Fleischverarbeitung!AL32</f>
        <v>0</v>
      </c>
      <c r="F31" s="922">
        <f>D31*Fleischverarbeitung!AM32</f>
        <v>0</v>
      </c>
      <c r="G31" s="923">
        <f>D31*Fleischverarbeitung!AN32</f>
        <v>0</v>
      </c>
      <c r="H31" s="780"/>
      <c r="J31" s="779"/>
      <c r="K31" s="137"/>
      <c r="L31" s="137"/>
      <c r="M31" s="137"/>
      <c r="N31" s="137"/>
      <c r="O31" s="1595" t="s">
        <v>1225</v>
      </c>
      <c r="P31" s="497">
        <f t="shared" si="5"/>
        <v>0</v>
      </c>
      <c r="Q31" s="780"/>
      <c r="S31" s="25"/>
      <c r="T31" s="1718" t="s">
        <v>79</v>
      </c>
      <c r="U31" s="1718"/>
      <c r="V31" s="1718"/>
      <c r="W31" s="1718"/>
      <c r="X31" s="1718"/>
      <c r="Y31" s="1559" t="s">
        <v>11</v>
      </c>
      <c r="Z31" s="675"/>
      <c r="AD31" s="149" t="s">
        <v>206</v>
      </c>
      <c r="AE31" s="186">
        <v>0.21</v>
      </c>
      <c r="AF31" s="150">
        <v>0.36</v>
      </c>
      <c r="AG31" s="103">
        <v>0.13</v>
      </c>
      <c r="AH31" s="767">
        <f t="shared" si="4"/>
        <v>55.199999999999996</v>
      </c>
      <c r="AK31" s="151" t="s">
        <v>206</v>
      </c>
      <c r="AL31" s="176">
        <f>0.015*AE31</f>
        <v>3.1499999999999996E-3</v>
      </c>
      <c r="AM31" s="176">
        <f>0.013*AF31</f>
        <v>4.6799999999999993E-3</v>
      </c>
      <c r="AN31" s="177">
        <f>0.038*AG31</f>
        <v>4.9399999999999999E-3</v>
      </c>
      <c r="AP31" s="180"/>
      <c r="AQ31" s="181"/>
      <c r="AR31" s="181"/>
      <c r="AS31" s="181"/>
    </row>
    <row r="32" spans="2:45" ht="18" customHeight="1" thickBot="1" x14ac:dyDescent="0.25">
      <c r="B32" s="779"/>
      <c r="C32" s="795" t="s">
        <v>257</v>
      </c>
      <c r="D32" s="772">
        <f>SUM(D27:D31)</f>
        <v>0</v>
      </c>
      <c r="E32" s="924">
        <f>SUM(E27:E31)</f>
        <v>0</v>
      </c>
      <c r="F32" s="925">
        <f>SUM(F27:F31)</f>
        <v>0</v>
      </c>
      <c r="G32" s="926">
        <f>SUM(G27:G31)</f>
        <v>0</v>
      </c>
      <c r="H32" s="780"/>
      <c r="J32" s="779"/>
      <c r="K32" s="137"/>
      <c r="L32" s="137"/>
      <c r="M32" s="137"/>
      <c r="N32" s="137"/>
      <c r="O32" s="1595" t="s">
        <v>1226</v>
      </c>
      <c r="P32" s="497">
        <f t="shared" si="5"/>
        <v>0</v>
      </c>
      <c r="Q32" s="780"/>
      <c r="S32" s="25"/>
      <c r="T32" s="1718" t="s">
        <v>758</v>
      </c>
      <c r="U32" s="1718"/>
      <c r="V32" s="1718"/>
      <c r="W32" s="1718"/>
      <c r="X32" s="1718"/>
      <c r="Y32" s="1559" t="s">
        <v>11</v>
      </c>
      <c r="Z32" s="675"/>
      <c r="AD32" s="141" t="s">
        <v>207</v>
      </c>
      <c r="AE32" s="187">
        <v>1.4999999999999999E-2</v>
      </c>
      <c r="AF32" s="188">
        <v>2.7E-2</v>
      </c>
      <c r="AG32" s="189">
        <v>1.4999999999999999E-2</v>
      </c>
      <c r="AH32" s="768">
        <f t="shared" si="4"/>
        <v>1.6674999999999998</v>
      </c>
      <c r="AK32" s="152" t="s">
        <v>207</v>
      </c>
      <c r="AL32" s="178">
        <f>0.00046*AE32</f>
        <v>6.9E-6</v>
      </c>
      <c r="AM32" s="178">
        <f>0.0004*AF32</f>
        <v>1.08E-5</v>
      </c>
      <c r="AN32" s="179">
        <f>0.00012*AG32</f>
        <v>1.7999999999999999E-6</v>
      </c>
      <c r="AP32" s="180"/>
      <c r="AQ32" s="182"/>
      <c r="AR32" s="182"/>
      <c r="AS32" s="182"/>
    </row>
    <row r="33" spans="2:43" ht="18" customHeight="1" thickBot="1" x14ac:dyDescent="0.25">
      <c r="B33" s="779"/>
      <c r="C33" s="137"/>
      <c r="D33" s="137"/>
      <c r="E33" s="137"/>
      <c r="F33" s="137"/>
      <c r="G33" s="137"/>
      <c r="H33" s="780"/>
      <c r="J33" s="779"/>
      <c r="K33" s="137"/>
      <c r="L33" s="137"/>
      <c r="M33" s="137"/>
      <c r="N33" s="137"/>
      <c r="O33" s="1595" t="s">
        <v>1227</v>
      </c>
      <c r="P33" s="497">
        <f t="shared" si="5"/>
        <v>0</v>
      </c>
      <c r="Q33" s="780"/>
      <c r="S33" s="25"/>
      <c r="T33" s="1718" t="s">
        <v>80</v>
      </c>
      <c r="U33" s="1718"/>
      <c r="V33" s="1718"/>
      <c r="W33" s="1718"/>
      <c r="X33" s="1718"/>
      <c r="Y33" s="1559" t="s">
        <v>11</v>
      </c>
      <c r="Z33" s="675"/>
    </row>
    <row r="34" spans="2:43" ht="18" customHeight="1" thickBot="1" x14ac:dyDescent="0.3">
      <c r="B34" s="779"/>
      <c r="C34" s="1783" t="s">
        <v>258</v>
      </c>
      <c r="D34" s="1784"/>
      <c r="E34" s="1780" t="s">
        <v>319</v>
      </c>
      <c r="F34" s="1781"/>
      <c r="G34" s="1782"/>
      <c r="H34" s="780"/>
      <c r="J34" s="779"/>
      <c r="K34" s="137"/>
      <c r="L34" s="137"/>
      <c r="M34" s="137"/>
      <c r="N34" s="137"/>
      <c r="O34" s="1458" t="s">
        <v>1228</v>
      </c>
      <c r="P34" s="497">
        <f t="shared" si="5"/>
        <v>0</v>
      </c>
      <c r="Q34" s="780"/>
      <c r="S34" s="25"/>
      <c r="T34" s="1718" t="s">
        <v>266</v>
      </c>
      <c r="U34" s="1718"/>
      <c r="V34" s="1718"/>
      <c r="W34" s="1718"/>
      <c r="X34" s="1718"/>
      <c r="Y34" s="1559" t="s">
        <v>11</v>
      </c>
      <c r="Z34" s="675"/>
      <c r="AD34" s="225" t="s">
        <v>250</v>
      </c>
      <c r="AE34" s="366" t="s">
        <v>226</v>
      </c>
      <c r="AF34" s="367" t="s">
        <v>37</v>
      </c>
    </row>
    <row r="35" spans="2:43" ht="20.100000000000001" customHeight="1" thickBot="1" x14ac:dyDescent="0.35">
      <c r="B35" s="779"/>
      <c r="C35" s="1787" t="s">
        <v>195</v>
      </c>
      <c r="D35" s="1785" t="s">
        <v>470</v>
      </c>
      <c r="E35" s="759" t="s">
        <v>271</v>
      </c>
      <c r="F35" s="760" t="s">
        <v>225</v>
      </c>
      <c r="G35" s="770" t="s">
        <v>12</v>
      </c>
      <c r="H35" s="780"/>
      <c r="J35" s="779"/>
      <c r="K35" s="137"/>
      <c r="L35" s="137"/>
      <c r="M35" s="137"/>
      <c r="N35" s="137"/>
      <c r="O35" s="1458" t="s">
        <v>1229</v>
      </c>
      <c r="P35" s="497">
        <f t="shared" si="5"/>
        <v>0</v>
      </c>
      <c r="Q35" s="780"/>
      <c r="S35" s="25"/>
      <c r="T35" s="1716" t="s">
        <v>267</v>
      </c>
      <c r="U35" s="1716"/>
      <c r="V35" s="1716"/>
      <c r="W35" s="1716"/>
      <c r="X35" s="1716"/>
      <c r="Y35" s="1559" t="s">
        <v>11</v>
      </c>
      <c r="Z35" s="675"/>
      <c r="AD35" s="226"/>
      <c r="AE35" s="368">
        <v>200</v>
      </c>
      <c r="AF35" s="369">
        <v>400</v>
      </c>
      <c r="AK35" s="163" t="s">
        <v>653</v>
      </c>
      <c r="AL35" s="292"/>
      <c r="AM35" s="753" t="s">
        <v>645</v>
      </c>
      <c r="AN35" s="753" t="s">
        <v>304</v>
      </c>
      <c r="AO35" s="754" t="s">
        <v>301</v>
      </c>
      <c r="AP35" s="153"/>
    </row>
    <row r="36" spans="2:43" ht="20.100000000000001" customHeight="1" thickBot="1" x14ac:dyDescent="0.3">
      <c r="B36" s="779"/>
      <c r="C36" s="1788"/>
      <c r="D36" s="1786"/>
      <c r="E36" s="761" t="s">
        <v>518</v>
      </c>
      <c r="F36" s="762" t="s">
        <v>518</v>
      </c>
      <c r="G36" s="771" t="s">
        <v>682</v>
      </c>
      <c r="H36" s="780"/>
      <c r="J36" s="779"/>
      <c r="K36" s="137"/>
      <c r="L36" s="137"/>
      <c r="M36" s="137"/>
      <c r="N36" s="137"/>
      <c r="O36" s="1458"/>
      <c r="P36" s="276"/>
      <c r="Q36" s="780"/>
      <c r="S36" s="25"/>
      <c r="T36" s="191"/>
      <c r="U36" s="191"/>
      <c r="V36" s="191"/>
      <c r="W36" s="26"/>
      <c r="X36" s="26"/>
      <c r="Y36" s="894"/>
      <c r="Z36" s="675"/>
      <c r="AK36" s="165" t="s">
        <v>646</v>
      </c>
      <c r="AL36" s="285"/>
      <c r="AM36" s="286" t="s">
        <v>251</v>
      </c>
      <c r="AN36" s="286" t="s">
        <v>251</v>
      </c>
      <c r="AO36" s="288" t="s">
        <v>251</v>
      </c>
    </row>
    <row r="37" spans="2:43" ht="18" customHeight="1" thickBot="1" x14ac:dyDescent="0.25">
      <c r="B37" s="779"/>
      <c r="C37" s="792" t="s">
        <v>203</v>
      </c>
      <c r="D37" s="1569"/>
      <c r="E37" s="900">
        <f>D37*Fleischverarbeitung!AQ$28*10</f>
        <v>0</v>
      </c>
      <c r="F37" s="901">
        <f>D37*Fleischverarbeitung!AR$28*10</f>
        <v>0</v>
      </c>
      <c r="G37" s="902">
        <f>D37*Fleischverarbeitung!AS$28*10</f>
        <v>0</v>
      </c>
      <c r="H37" s="780"/>
      <c r="J37" s="779"/>
      <c r="K37" s="688"/>
      <c r="L37" s="688"/>
      <c r="M37" s="469" t="s">
        <v>680</v>
      </c>
      <c r="N37" s="821" t="s">
        <v>565</v>
      </c>
      <c r="O37" s="822" t="s">
        <v>678</v>
      </c>
      <c r="P37" s="137"/>
      <c r="Q37" s="780"/>
      <c r="S37" s="48"/>
      <c r="T37" s="840" t="s">
        <v>63</v>
      </c>
      <c r="U37" s="840"/>
      <c r="V37" s="840"/>
      <c r="W37" s="33"/>
      <c r="X37" s="33"/>
      <c r="Y37" s="895"/>
      <c r="Z37" s="674"/>
      <c r="AK37" s="165" t="s">
        <v>643</v>
      </c>
      <c r="AL37" s="285"/>
      <c r="AM37" s="939">
        <v>1.1499999999999999</v>
      </c>
      <c r="AN37" s="286"/>
      <c r="AO37" s="288"/>
    </row>
    <row r="38" spans="2:43" ht="18" customHeight="1" x14ac:dyDescent="0.2">
      <c r="B38" s="779"/>
      <c r="C38" s="793" t="s">
        <v>204</v>
      </c>
      <c r="D38" s="1570"/>
      <c r="E38" s="903">
        <f>D38*Fleischverarbeitung!AQ$28*10</f>
        <v>0</v>
      </c>
      <c r="F38" s="904">
        <f>D38*Fleischverarbeitung!AR$28*10</f>
        <v>0</v>
      </c>
      <c r="G38" s="905">
        <f>D38*Fleischverarbeitung!AS$28*10</f>
        <v>0</v>
      </c>
      <c r="H38" s="780"/>
      <c r="J38" s="779"/>
      <c r="K38" s="1686" t="s">
        <v>1208</v>
      </c>
      <c r="L38" s="1687"/>
      <c r="M38" s="726">
        <f>M24</f>
        <v>0</v>
      </c>
      <c r="N38" s="775">
        <f>N24</f>
        <v>0</v>
      </c>
      <c r="O38" s="823">
        <f>O24</f>
        <v>0</v>
      </c>
      <c r="P38" s="137"/>
      <c r="Q38" s="780"/>
      <c r="S38" s="25"/>
      <c r="T38" s="1716" t="s">
        <v>272</v>
      </c>
      <c r="U38" s="1716"/>
      <c r="V38" s="1716"/>
      <c r="W38" s="1716"/>
      <c r="X38" s="1716"/>
      <c r="Y38" s="1559" t="s">
        <v>11</v>
      </c>
      <c r="Z38" s="675"/>
      <c r="AD38" s="10"/>
      <c r="AE38" s="10"/>
      <c r="AK38" s="165" t="s">
        <v>644</v>
      </c>
      <c r="AL38" s="285"/>
      <c r="AM38" s="286">
        <v>2.1</v>
      </c>
      <c r="AN38" s="286">
        <v>1</v>
      </c>
      <c r="AO38" s="288"/>
    </row>
    <row r="39" spans="2:43" ht="18" customHeight="1" x14ac:dyDescent="0.2">
      <c r="B39" s="779"/>
      <c r="C39" s="793" t="s">
        <v>205</v>
      </c>
      <c r="D39" s="1570"/>
      <c r="E39" s="903">
        <f>D39*Fleischverarbeitung!AQ$28*10</f>
        <v>0</v>
      </c>
      <c r="F39" s="904">
        <f>D39*Fleischverarbeitung!AR$28*10</f>
        <v>0</v>
      </c>
      <c r="G39" s="905">
        <f>D39*Fleischverarbeitung!AS$28*10</f>
        <v>0</v>
      </c>
      <c r="H39" s="780"/>
      <c r="J39" s="779"/>
      <c r="K39" s="1791" t="s">
        <v>677</v>
      </c>
      <c r="L39" s="1792"/>
      <c r="M39" s="726">
        <f>N27+N28</f>
        <v>0</v>
      </c>
      <c r="N39" s="775">
        <f>M29</f>
        <v>0</v>
      </c>
      <c r="O39" s="824">
        <f>M39+N39</f>
        <v>0</v>
      </c>
      <c r="P39" s="137"/>
      <c r="Q39" s="780"/>
      <c r="S39" s="25"/>
      <c r="T39" s="1716" t="s">
        <v>273</v>
      </c>
      <c r="U39" s="1716"/>
      <c r="V39" s="1716"/>
      <c r="W39" s="1716"/>
      <c r="X39" s="1716"/>
      <c r="Y39" s="1559" t="s">
        <v>11</v>
      </c>
      <c r="Z39" s="675"/>
      <c r="AD39" s="28"/>
      <c r="AE39" s="10"/>
      <c r="AK39" s="165" t="s">
        <v>647</v>
      </c>
      <c r="AL39" s="285"/>
      <c r="AM39" s="286" t="s">
        <v>362</v>
      </c>
      <c r="AN39" s="286" t="s">
        <v>652</v>
      </c>
      <c r="AO39" s="288"/>
    </row>
    <row r="40" spans="2:43" ht="18" customHeight="1" thickBot="1" x14ac:dyDescent="0.25">
      <c r="B40" s="779"/>
      <c r="C40" s="793" t="s">
        <v>206</v>
      </c>
      <c r="D40" s="1570"/>
      <c r="E40" s="903">
        <f>D40*Fleischverarbeitung!AQ$28*10</f>
        <v>0</v>
      </c>
      <c r="F40" s="904">
        <f>D40*Fleischverarbeitung!AR$28*10</f>
        <v>0</v>
      </c>
      <c r="G40" s="905">
        <f>D40*Fleischverarbeitung!AS$28*10</f>
        <v>0</v>
      </c>
      <c r="H40" s="780"/>
      <c r="J40" s="779"/>
      <c r="K40" s="1684" t="s">
        <v>670</v>
      </c>
      <c r="L40" s="1685"/>
      <c r="M40" s="282" t="e">
        <f>M39/M38</f>
        <v>#DIV/0!</v>
      </c>
      <c r="N40" s="283" t="e">
        <f t="shared" ref="N40:O40" si="6">N39/N38</f>
        <v>#DIV/0!</v>
      </c>
      <c r="O40" s="826" t="e">
        <f t="shared" si="6"/>
        <v>#DIV/0!</v>
      </c>
      <c r="P40" s="137"/>
      <c r="Q40" s="780"/>
      <c r="S40" s="25"/>
      <c r="T40" s="1716" t="s">
        <v>310</v>
      </c>
      <c r="U40" s="1716"/>
      <c r="V40" s="1716"/>
      <c r="W40" s="1716"/>
      <c r="X40" s="1716"/>
      <c r="Y40" s="1559" t="s">
        <v>11</v>
      </c>
      <c r="Z40" s="675"/>
      <c r="AD40" s="28"/>
      <c r="AE40" s="10"/>
      <c r="AK40" s="165" t="s">
        <v>648</v>
      </c>
      <c r="AL40" s="285"/>
      <c r="AM40" s="286">
        <v>0.4</v>
      </c>
      <c r="AN40" s="286">
        <v>1</v>
      </c>
      <c r="AO40" s="288"/>
      <c r="AP40" s="153"/>
    </row>
    <row r="41" spans="2:43" ht="18" customHeight="1" thickBot="1" x14ac:dyDescent="0.25">
      <c r="B41" s="779"/>
      <c r="C41" s="794" t="s">
        <v>207</v>
      </c>
      <c r="D41" s="1571"/>
      <c r="E41" s="906">
        <f>D41*Fleischverarbeitung!AQ$28*10</f>
        <v>0</v>
      </c>
      <c r="F41" s="907">
        <f>D41*Fleischverarbeitung!AR$28*10</f>
        <v>0</v>
      </c>
      <c r="G41" s="908">
        <f>D41*Fleischverarbeitung!AS$28*10</f>
        <v>0</v>
      </c>
      <c r="H41" s="780"/>
      <c r="J41" s="779"/>
      <c r="K41" s="1688" t="s">
        <v>59</v>
      </c>
      <c r="L41" s="1689"/>
      <c r="M41" s="414" t="str">
        <f>IF(M39&gt;0,IF(M40&lt;=Gut,"gut",IF(M40&lt;=Potential,"Potential","Bedarf")),"")</f>
        <v/>
      </c>
      <c r="N41" s="415" t="str">
        <f>IF(N39&gt;0,IF(N40&lt;=Gut,"gut",IF(N40&lt;=Potential,"Potential","Bedarf")),"")</f>
        <v/>
      </c>
      <c r="O41" s="827" t="str">
        <f>IF(O39&gt;0,IF(O40&lt;=Gut,"gut",IF(O40&lt;=Potential,"Potential","Bedarf")),"")</f>
        <v/>
      </c>
      <c r="P41" s="137"/>
      <c r="Q41" s="780"/>
      <c r="S41" s="25"/>
      <c r="T41" s="1716" t="s">
        <v>759</v>
      </c>
      <c r="U41" s="1716"/>
      <c r="V41" s="1716"/>
      <c r="W41" s="1716"/>
      <c r="X41" s="1716"/>
      <c r="Y41" s="1559" t="s">
        <v>11</v>
      </c>
      <c r="Z41" s="675"/>
      <c r="AD41" s="28"/>
      <c r="AE41" s="10"/>
      <c r="AG41" s="115"/>
      <c r="AH41" s="115"/>
      <c r="AI41" s="115"/>
      <c r="AK41" s="165" t="s">
        <v>649</v>
      </c>
      <c r="AL41" s="285"/>
      <c r="AM41" s="286">
        <v>1</v>
      </c>
      <c r="AN41" s="286">
        <v>1.3</v>
      </c>
      <c r="AO41" s="755"/>
      <c r="AP41" s="106"/>
      <c r="AQ41" s="106"/>
    </row>
    <row r="42" spans="2:43" ht="18" customHeight="1" thickBot="1" x14ac:dyDescent="0.25">
      <c r="B42" s="779"/>
      <c r="C42" s="796" t="s">
        <v>259</v>
      </c>
      <c r="D42" s="259">
        <f>SUM(D37:D41)</f>
        <v>0</v>
      </c>
      <c r="E42" s="912">
        <f t="shared" ref="E42" si="7">SUM(E37:E41)</f>
        <v>0</v>
      </c>
      <c r="F42" s="913">
        <f t="shared" ref="F42" si="8">SUM(F37:F41)</f>
        <v>0</v>
      </c>
      <c r="G42" s="914">
        <f t="shared" ref="G42" si="9">SUM(G37:G41)</f>
        <v>0</v>
      </c>
      <c r="H42" s="780"/>
      <c r="J42" s="779"/>
      <c r="K42" s="432" t="s">
        <v>553</v>
      </c>
      <c r="L42" s="276"/>
      <c r="M42" s="276"/>
      <c r="N42" s="277"/>
      <c r="O42" s="276"/>
      <c r="P42" s="137"/>
      <c r="Q42" s="780"/>
      <c r="S42" s="25"/>
      <c r="T42" s="1716" t="s">
        <v>274</v>
      </c>
      <c r="U42" s="1716"/>
      <c r="V42" s="1716"/>
      <c r="W42" s="1716"/>
      <c r="X42" s="1716"/>
      <c r="Y42" s="1559" t="s">
        <v>11</v>
      </c>
      <c r="Z42" s="675"/>
      <c r="AG42" s="115"/>
      <c r="AI42" s="115"/>
      <c r="AK42" s="165" t="s">
        <v>650</v>
      </c>
      <c r="AL42" s="285"/>
      <c r="AM42" s="286">
        <v>1.3</v>
      </c>
      <c r="AN42" s="286">
        <v>2</v>
      </c>
      <c r="AO42" s="755"/>
      <c r="AP42" s="106"/>
      <c r="AQ42" s="154"/>
    </row>
    <row r="43" spans="2:43" ht="15" customHeight="1" thickBot="1" x14ac:dyDescent="0.3">
      <c r="B43" s="779"/>
      <c r="C43" s="137"/>
      <c r="D43" s="137"/>
      <c r="E43" s="137"/>
      <c r="F43" s="137"/>
      <c r="G43" s="137"/>
      <c r="H43" s="780"/>
      <c r="J43" s="779"/>
      <c r="K43" s="276"/>
      <c r="L43" s="276"/>
      <c r="M43" s="276"/>
      <c r="N43" s="276"/>
      <c r="O43" s="276"/>
      <c r="P43" s="276"/>
      <c r="Q43" s="780"/>
      <c r="S43" s="25"/>
      <c r="T43" s="1716" t="s">
        <v>276</v>
      </c>
      <c r="U43" s="1716"/>
      <c r="V43" s="1716"/>
      <c r="W43" s="1716"/>
      <c r="X43" s="1716"/>
      <c r="Y43" s="1559" t="s">
        <v>11</v>
      </c>
      <c r="Z43" s="675"/>
      <c r="AD43" s="1820" t="s">
        <v>252</v>
      </c>
      <c r="AE43" s="1821"/>
      <c r="AG43" s="1822" t="s">
        <v>638</v>
      </c>
      <c r="AH43" s="1823"/>
      <c r="AI43" s="155"/>
      <c r="AK43" s="171" t="s">
        <v>651</v>
      </c>
      <c r="AL43" s="756"/>
      <c r="AM43" s="291">
        <v>2</v>
      </c>
      <c r="AN43" s="291">
        <v>2.8</v>
      </c>
      <c r="AO43" s="172"/>
    </row>
    <row r="44" spans="2:43" ht="18" customHeight="1" thickBot="1" x14ac:dyDescent="0.3">
      <c r="B44" s="779"/>
      <c r="C44" s="167" t="s">
        <v>23</v>
      </c>
      <c r="D44" s="262" t="s">
        <v>683</v>
      </c>
      <c r="E44" s="267" t="s">
        <v>684</v>
      </c>
      <c r="F44" s="121" t="s">
        <v>685</v>
      </c>
      <c r="G44" s="268" t="s">
        <v>686</v>
      </c>
      <c r="H44" s="780"/>
      <c r="J44" s="779"/>
      <c r="K44" s="276"/>
      <c r="L44" s="276"/>
      <c r="M44" s="276"/>
      <c r="N44" s="276"/>
      <c r="O44" s="276"/>
      <c r="P44" s="276"/>
      <c r="Q44" s="780"/>
      <c r="S44" s="25"/>
      <c r="T44" s="1716" t="s">
        <v>760</v>
      </c>
      <c r="U44" s="1716"/>
      <c r="V44" s="1716"/>
      <c r="W44" s="1716"/>
      <c r="X44" s="1716"/>
      <c r="Y44" s="1559" t="s">
        <v>11</v>
      </c>
      <c r="Z44" s="675"/>
      <c r="AC44" s="156"/>
      <c r="AD44" s="125"/>
      <c r="AE44" s="157" t="s">
        <v>229</v>
      </c>
      <c r="AG44" s="1824"/>
      <c r="AH44" s="1825"/>
      <c r="AI44" s="115"/>
    </row>
    <row r="45" spans="2:43" ht="18" customHeight="1" thickBot="1" x14ac:dyDescent="0.3">
      <c r="B45" s="779"/>
      <c r="C45" s="797" t="s">
        <v>254</v>
      </c>
      <c r="D45" s="266">
        <f>D22</f>
        <v>0</v>
      </c>
      <c r="E45" s="930">
        <f t="shared" ref="E45:G45" si="10">E22</f>
        <v>0</v>
      </c>
      <c r="F45" s="931">
        <f t="shared" si="10"/>
        <v>0</v>
      </c>
      <c r="G45" s="932">
        <f t="shared" si="10"/>
        <v>0</v>
      </c>
      <c r="H45" s="780"/>
      <c r="J45" s="779"/>
      <c r="K45" s="482" t="s">
        <v>560</v>
      </c>
      <c r="L45" s="276"/>
      <c r="M45" s="276"/>
      <c r="N45" s="276"/>
      <c r="O45" s="276"/>
      <c r="P45" s="276"/>
      <c r="Q45" s="780"/>
      <c r="S45" s="25"/>
      <c r="T45" s="137"/>
      <c r="U45" s="839"/>
      <c r="V45" s="839"/>
      <c r="W45" s="26"/>
      <c r="X45" s="26"/>
      <c r="Y45" s="894"/>
      <c r="Z45" s="675"/>
      <c r="AD45" s="158" t="s">
        <v>228</v>
      </c>
      <c r="AE45" s="159">
        <v>5</v>
      </c>
      <c r="AG45" s="160"/>
      <c r="AH45" s="161" t="s">
        <v>229</v>
      </c>
      <c r="AK45" s="163" t="s">
        <v>288</v>
      </c>
      <c r="AL45" s="292" t="s">
        <v>658</v>
      </c>
      <c r="AM45" s="292"/>
      <c r="AN45" s="292"/>
      <c r="AO45" s="164"/>
    </row>
    <row r="46" spans="2:43" ht="18" customHeight="1" x14ac:dyDescent="0.2">
      <c r="B46" s="779"/>
      <c r="C46" s="798" t="s">
        <v>257</v>
      </c>
      <c r="D46" s="260">
        <f>D32</f>
        <v>0</v>
      </c>
      <c r="E46" s="927">
        <f t="shared" ref="E46:G46" si="11">E32</f>
        <v>0</v>
      </c>
      <c r="F46" s="928">
        <f t="shared" si="11"/>
        <v>0</v>
      </c>
      <c r="G46" s="929">
        <f t="shared" si="11"/>
        <v>0</v>
      </c>
      <c r="H46" s="780"/>
      <c r="J46" s="779"/>
      <c r="K46" s="722" t="s">
        <v>679</v>
      </c>
      <c r="L46" s="723"/>
      <c r="M46" s="456">
        <f>IF(O24&gt;0,M39-M38,0)</f>
        <v>0</v>
      </c>
      <c r="N46" s="719" t="s">
        <v>529</v>
      </c>
      <c r="O46" s="456">
        <f>IF(O24&gt;0,M46/10*0.6,0)</f>
        <v>0</v>
      </c>
      <c r="P46" s="722" t="s">
        <v>563</v>
      </c>
      <c r="Q46" s="780"/>
      <c r="S46" s="256"/>
      <c r="T46" s="840" t="s">
        <v>277</v>
      </c>
      <c r="U46" s="193"/>
      <c r="V46" s="193"/>
      <c r="W46" s="33"/>
      <c r="X46" s="33"/>
      <c r="Y46" s="895"/>
      <c r="Z46" s="836"/>
      <c r="AD46" s="162" t="s">
        <v>230</v>
      </c>
      <c r="AE46" s="120">
        <v>5</v>
      </c>
      <c r="AG46" s="163" t="s">
        <v>243</v>
      </c>
      <c r="AH46" s="164">
        <v>52</v>
      </c>
      <c r="AI46" s="115"/>
      <c r="AK46" s="165" t="s">
        <v>654</v>
      </c>
      <c r="AL46" s="285"/>
      <c r="AM46" s="285" t="s">
        <v>659</v>
      </c>
      <c r="AN46" s="285"/>
      <c r="AO46" s="166"/>
    </row>
    <row r="47" spans="2:43" ht="18" customHeight="1" thickBot="1" x14ac:dyDescent="0.25">
      <c r="B47" s="779"/>
      <c r="C47" s="799" t="s">
        <v>471</v>
      </c>
      <c r="D47" s="261">
        <f>D42</f>
        <v>0</v>
      </c>
      <c r="E47" s="933">
        <f t="shared" ref="E47:G47" si="12">E42</f>
        <v>0</v>
      </c>
      <c r="F47" s="934">
        <f t="shared" si="12"/>
        <v>0</v>
      </c>
      <c r="G47" s="935">
        <f t="shared" si="12"/>
        <v>0</v>
      </c>
      <c r="H47" s="780"/>
      <c r="J47" s="779"/>
      <c r="K47" s="722" t="s">
        <v>561</v>
      </c>
      <c r="L47" s="723"/>
      <c r="M47" s="456">
        <f>IF(O24&gt;0,IF(N39&gt;0,N39-N38,0),O39-O38)</f>
        <v>0</v>
      </c>
      <c r="N47" s="719" t="s">
        <v>529</v>
      </c>
      <c r="O47" s="456">
        <f>IF(O24&gt;0,M47*0.2,0)</f>
        <v>0</v>
      </c>
      <c r="P47" s="722" t="s">
        <v>562</v>
      </c>
      <c r="Q47" s="780"/>
      <c r="S47" s="779"/>
      <c r="T47" s="1716" t="s">
        <v>278</v>
      </c>
      <c r="U47" s="1716"/>
      <c r="V47" s="1716"/>
      <c r="W47" s="1716"/>
      <c r="X47" s="1716"/>
      <c r="Y47" s="1559" t="s">
        <v>11</v>
      </c>
      <c r="Z47" s="780"/>
      <c r="AD47" s="162" t="s">
        <v>231</v>
      </c>
      <c r="AE47" s="120">
        <v>3</v>
      </c>
      <c r="AG47" s="165" t="s">
        <v>244</v>
      </c>
      <c r="AH47" s="166">
        <v>22</v>
      </c>
      <c r="AK47" s="165" t="s">
        <v>655</v>
      </c>
      <c r="AL47" s="757">
        <v>0.5</v>
      </c>
      <c r="AM47" s="285"/>
      <c r="AN47" s="285"/>
      <c r="AO47" s="166"/>
    </row>
    <row r="48" spans="2:43" ht="18" customHeight="1" thickBot="1" x14ac:dyDescent="0.25">
      <c r="B48" s="779"/>
      <c r="C48" s="800" t="s">
        <v>260</v>
      </c>
      <c r="D48" s="262"/>
      <c r="E48" s="936">
        <f>SUM(E45:E47)</f>
        <v>0</v>
      </c>
      <c r="F48" s="937">
        <f>SUM(F45:F47)</f>
        <v>0</v>
      </c>
      <c r="G48" s="938">
        <f>SUM(G45:G47)</f>
        <v>0</v>
      </c>
      <c r="H48" s="780"/>
      <c r="J48" s="257"/>
      <c r="K48" s="258"/>
      <c r="L48" s="258"/>
      <c r="M48" s="258"/>
      <c r="N48" s="258"/>
      <c r="O48" s="258"/>
      <c r="P48" s="258"/>
      <c r="Q48" s="790"/>
      <c r="S48" s="779"/>
      <c r="T48" s="1716" t="s">
        <v>770</v>
      </c>
      <c r="U48" s="1716"/>
      <c r="V48" s="1716"/>
      <c r="W48" s="1716"/>
      <c r="X48" s="1716"/>
      <c r="Y48" s="1559" t="s">
        <v>11</v>
      </c>
      <c r="Z48" s="780"/>
      <c r="AD48" s="162" t="s">
        <v>234</v>
      </c>
      <c r="AE48" s="168" t="s">
        <v>233</v>
      </c>
      <c r="AG48" s="165" t="s">
        <v>245</v>
      </c>
      <c r="AH48" s="166">
        <v>10</v>
      </c>
      <c r="AK48" s="165" t="s">
        <v>656</v>
      </c>
      <c r="AL48" s="757">
        <v>0.21</v>
      </c>
      <c r="AM48" s="285"/>
      <c r="AN48" s="105"/>
      <c r="AO48" s="755"/>
    </row>
    <row r="49" spans="2:42" ht="18" customHeight="1" thickBot="1" x14ac:dyDescent="0.25">
      <c r="B49" s="779"/>
      <c r="C49" s="256"/>
      <c r="D49" s="193"/>
      <c r="E49" s="256"/>
      <c r="F49" s="254"/>
      <c r="G49" s="264"/>
      <c r="H49" s="780"/>
      <c r="J49" s="106"/>
      <c r="K49" s="106"/>
      <c r="L49" s="106"/>
      <c r="M49" s="106"/>
      <c r="N49" s="106"/>
      <c r="O49" s="106"/>
      <c r="P49" s="106"/>
      <c r="Q49" s="106"/>
      <c r="S49" s="779"/>
      <c r="T49" s="1716" t="s">
        <v>280</v>
      </c>
      <c r="U49" s="1716"/>
      <c r="V49" s="1716"/>
      <c r="W49" s="1716"/>
      <c r="X49" s="1716"/>
      <c r="Y49" s="1559" t="s">
        <v>11</v>
      </c>
      <c r="Z49" s="780"/>
      <c r="AD49" s="162" t="s">
        <v>235</v>
      </c>
      <c r="AE49" s="169" t="s">
        <v>236</v>
      </c>
      <c r="AG49" s="165" t="s">
        <v>246</v>
      </c>
      <c r="AH49" s="166">
        <v>8</v>
      </c>
      <c r="AI49" s="115"/>
      <c r="AK49" s="165" t="s">
        <v>657</v>
      </c>
      <c r="AL49" s="757">
        <v>0.11</v>
      </c>
      <c r="AM49" s="285"/>
      <c r="AN49" s="105"/>
      <c r="AO49" s="755"/>
    </row>
    <row r="50" spans="2:42" ht="18" customHeight="1" thickBot="1" x14ac:dyDescent="0.25">
      <c r="B50" s="779"/>
      <c r="C50" s="257"/>
      <c r="D50" s="258"/>
      <c r="E50" s="263" t="s">
        <v>684</v>
      </c>
      <c r="F50" s="255" t="s">
        <v>685</v>
      </c>
      <c r="G50" s="265" t="s">
        <v>686</v>
      </c>
      <c r="H50" s="780"/>
      <c r="J50" s="409"/>
      <c r="K50" s="296"/>
      <c r="L50" s="296"/>
      <c r="M50" s="296"/>
      <c r="N50" s="411"/>
      <c r="O50" s="106"/>
      <c r="P50" s="106"/>
      <c r="Q50" s="106"/>
      <c r="S50" s="779"/>
      <c r="T50" s="1716" t="s">
        <v>279</v>
      </c>
      <c r="U50" s="1716"/>
      <c r="V50" s="1716"/>
      <c r="W50" s="1716"/>
      <c r="X50" s="1716"/>
      <c r="Y50" s="1559" t="s">
        <v>11</v>
      </c>
      <c r="Z50" s="780"/>
      <c r="AD50" s="162" t="s">
        <v>232</v>
      </c>
      <c r="AE50" s="170" t="s">
        <v>236</v>
      </c>
      <c r="AG50" s="165" t="s">
        <v>247</v>
      </c>
      <c r="AH50" s="166">
        <v>2</v>
      </c>
      <c r="AI50" s="115"/>
      <c r="AK50" s="165" t="s">
        <v>663</v>
      </c>
      <c r="AL50" s="757">
        <v>0.06</v>
      </c>
      <c r="AM50" s="285"/>
      <c r="AN50" s="285"/>
      <c r="AO50" s="166"/>
    </row>
    <row r="51" spans="2:42" ht="18" customHeight="1" x14ac:dyDescent="0.2">
      <c r="B51" s="779"/>
      <c r="C51" s="1776" t="s">
        <v>268</v>
      </c>
      <c r="D51" s="1777"/>
      <c r="E51" s="1572"/>
      <c r="F51" s="1573"/>
      <c r="G51" s="1574"/>
      <c r="H51" s="780"/>
      <c r="J51" s="412"/>
      <c r="K51" s="1630" t="s">
        <v>586</v>
      </c>
      <c r="L51" s="1631"/>
      <c r="M51" s="1632"/>
      <c r="N51" s="413"/>
      <c r="O51" s="106"/>
      <c r="P51" s="106"/>
      <c r="Q51" s="106"/>
      <c r="S51" s="779"/>
      <c r="T51" s="1716" t="s">
        <v>281</v>
      </c>
      <c r="U51" s="1716"/>
      <c r="V51" s="1716"/>
      <c r="W51" s="1716"/>
      <c r="X51" s="1716"/>
      <c r="Y51" s="1559" t="s">
        <v>11</v>
      </c>
      <c r="Z51" s="780"/>
      <c r="AD51" s="162" t="s">
        <v>237</v>
      </c>
      <c r="AE51" s="170" t="s">
        <v>233</v>
      </c>
      <c r="AG51" s="165" t="s">
        <v>248</v>
      </c>
      <c r="AH51" s="166">
        <v>2</v>
      </c>
      <c r="AK51" s="165" t="s">
        <v>303</v>
      </c>
      <c r="AL51" s="757">
        <v>0.04</v>
      </c>
      <c r="AM51" s="285"/>
      <c r="AN51" s="285"/>
      <c r="AO51" s="166"/>
    </row>
    <row r="52" spans="2:42" ht="18" customHeight="1" thickBot="1" x14ac:dyDescent="0.25">
      <c r="B52" s="779"/>
      <c r="C52" s="801" t="s">
        <v>125</v>
      </c>
      <c r="D52" s="802"/>
      <c r="E52" s="889" t="e">
        <f>E51/E48</f>
        <v>#DIV/0!</v>
      </c>
      <c r="F52" s="890" t="e">
        <f>F51/F48</f>
        <v>#DIV/0!</v>
      </c>
      <c r="G52" s="891" t="e">
        <f>G51/G48</f>
        <v>#DIV/0!</v>
      </c>
      <c r="H52" s="780"/>
      <c r="J52" s="417"/>
      <c r="K52" s="418"/>
      <c r="L52" s="418"/>
      <c r="M52" s="418"/>
      <c r="N52" s="419"/>
      <c r="O52" s="106"/>
      <c r="P52" s="106"/>
      <c r="Q52" s="106"/>
      <c r="S52" s="779"/>
      <c r="T52" s="1832" t="s">
        <v>761</v>
      </c>
      <c r="U52" s="1716"/>
      <c r="V52" s="1716"/>
      <c r="W52" s="1716"/>
      <c r="X52" s="1716"/>
      <c r="Y52" s="1559" t="s">
        <v>11</v>
      </c>
      <c r="Z52" s="780"/>
      <c r="AD52" s="162" t="s">
        <v>240</v>
      </c>
      <c r="AE52" s="120">
        <v>20</v>
      </c>
      <c r="AG52" s="171" t="s">
        <v>249</v>
      </c>
      <c r="AH52" s="172">
        <v>4</v>
      </c>
      <c r="AK52" s="171" t="s">
        <v>247</v>
      </c>
      <c r="AL52" s="758">
        <v>0.03</v>
      </c>
      <c r="AM52" s="756"/>
      <c r="AN52" s="756"/>
      <c r="AO52" s="172"/>
    </row>
    <row r="53" spans="2:42" ht="18" customHeight="1" thickBot="1" x14ac:dyDescent="0.25">
      <c r="B53" s="779"/>
      <c r="C53" s="800" t="s">
        <v>124</v>
      </c>
      <c r="D53" s="803"/>
      <c r="E53" s="30" t="e">
        <f>IF(E52&gt;0,IF(E52&lt;=Gut,"gut",IF(E52&lt;=Potential,"Potential","Bedarf")),"")</f>
        <v>#DIV/0!</v>
      </c>
      <c r="F53" s="31" t="e">
        <f>IF(F52&gt;0,IF(F52&lt;=Gut,"gut",IF(F52&lt;=Potential,"Potential","Bedarf")),"")</f>
        <v>#DIV/0!</v>
      </c>
      <c r="G53" s="32" t="e">
        <f>IF(G52&gt;0,IF(G52&lt;=Gut,"gut",IF(G52&lt;=Potential,"Potential","Bedarf")),"")</f>
        <v>#DIV/0!</v>
      </c>
      <c r="H53" s="780"/>
      <c r="J53" s="536"/>
      <c r="K53" s="537"/>
      <c r="L53" s="537"/>
      <c r="M53" s="537"/>
      <c r="N53" s="411"/>
      <c r="O53" s="106"/>
      <c r="P53" s="106"/>
      <c r="Q53" s="106"/>
      <c r="S53" s="779"/>
      <c r="T53" s="137"/>
      <c r="U53" s="137"/>
      <c r="V53" s="137"/>
      <c r="W53" s="26"/>
      <c r="X53" s="26"/>
      <c r="Y53" s="894"/>
      <c r="Z53" s="780"/>
      <c r="AD53" s="162" t="s">
        <v>242</v>
      </c>
      <c r="AE53" s="120" t="s">
        <v>241</v>
      </c>
    </row>
    <row r="54" spans="2:42" ht="18" customHeight="1" x14ac:dyDescent="0.25">
      <c r="B54" s="779"/>
      <c r="C54" s="137"/>
      <c r="D54" s="137"/>
      <c r="E54" s="137"/>
      <c r="F54" s="137"/>
      <c r="G54" s="137"/>
      <c r="H54" s="780"/>
      <c r="J54" s="412"/>
      <c r="K54" s="1846" t="s">
        <v>570</v>
      </c>
      <c r="L54" s="1847"/>
      <c r="M54" s="701">
        <f>IF(F56&gt;0,F56,0)</f>
        <v>0</v>
      </c>
      <c r="N54" s="413"/>
      <c r="O54" s="106"/>
      <c r="P54" s="106"/>
      <c r="Q54" s="106"/>
      <c r="S54" s="256"/>
      <c r="T54" s="194" t="s">
        <v>143</v>
      </c>
      <c r="U54" s="193"/>
      <c r="V54" s="193"/>
      <c r="W54" s="33"/>
      <c r="X54" s="33"/>
      <c r="Y54" s="895"/>
      <c r="Z54" s="836"/>
      <c r="AD54" s="162" t="s">
        <v>238</v>
      </c>
      <c r="AE54" s="120">
        <v>5</v>
      </c>
    </row>
    <row r="55" spans="2:42" ht="18" customHeight="1" thickBot="1" x14ac:dyDescent="0.25">
      <c r="B55" s="779"/>
      <c r="C55" s="482" t="s">
        <v>537</v>
      </c>
      <c r="D55" s="276"/>
      <c r="E55" s="276"/>
      <c r="F55" s="276"/>
      <c r="G55" s="1596" t="s">
        <v>1243</v>
      </c>
      <c r="H55" s="413"/>
      <c r="J55" s="412"/>
      <c r="K55" s="1848" t="s">
        <v>747</v>
      </c>
      <c r="L55" s="1849"/>
      <c r="M55" s="702">
        <f>IF(F58&gt;0,F58,0)</f>
        <v>0</v>
      </c>
      <c r="N55" s="413"/>
      <c r="O55" s="106"/>
      <c r="P55" s="106"/>
      <c r="Q55" s="106"/>
      <c r="R55" s="660"/>
      <c r="S55" s="779"/>
      <c r="T55" s="1716" t="s">
        <v>771</v>
      </c>
      <c r="U55" s="1716"/>
      <c r="V55" s="1716"/>
      <c r="W55" s="1716"/>
      <c r="X55" s="1716"/>
      <c r="Y55" s="1559" t="s">
        <v>11</v>
      </c>
      <c r="Z55" s="780"/>
      <c r="AA55" s="660"/>
      <c r="AB55" s="660"/>
      <c r="AD55" s="173" t="s">
        <v>239</v>
      </c>
      <c r="AE55" s="127">
        <v>2</v>
      </c>
    </row>
    <row r="56" spans="2:42" ht="18" customHeight="1" thickBot="1" x14ac:dyDescent="0.25">
      <c r="B56" s="779"/>
      <c r="C56" s="452" t="s">
        <v>521</v>
      </c>
      <c r="D56" s="456">
        <f>IF(G48&gt;0,G51-G48,0)</f>
        <v>0</v>
      </c>
      <c r="E56" s="719" t="s">
        <v>529</v>
      </c>
      <c r="F56" s="456">
        <f>IF(G48&gt;0,D56*G56,0)</f>
        <v>0</v>
      </c>
      <c r="G56" s="1599">
        <v>4</v>
      </c>
      <c r="H56" s="780"/>
      <c r="J56" s="412"/>
      <c r="K56" s="1844" t="s">
        <v>769</v>
      </c>
      <c r="L56" s="1845"/>
      <c r="M56" s="703">
        <f>IF((O46+O47)&gt;0,(O46+O47),0)</f>
        <v>0</v>
      </c>
      <c r="N56" s="413"/>
      <c r="O56" s="106"/>
      <c r="P56" s="106"/>
      <c r="Q56" s="106"/>
      <c r="R56" s="660"/>
      <c r="S56" s="779"/>
      <c r="T56" s="1716" t="s">
        <v>283</v>
      </c>
      <c r="U56" s="1716"/>
      <c r="V56" s="1716"/>
      <c r="W56" s="1716"/>
      <c r="X56" s="1716"/>
      <c r="Y56" s="1559" t="s">
        <v>11</v>
      </c>
      <c r="Z56" s="780"/>
      <c r="AA56" s="660"/>
      <c r="AB56" s="660"/>
      <c r="AD56" s="174"/>
    </row>
    <row r="57" spans="2:42" ht="18" customHeight="1" thickBot="1" x14ac:dyDescent="0.25">
      <c r="B57" s="779"/>
      <c r="C57" s="137"/>
      <c r="D57" s="137"/>
      <c r="E57" s="137"/>
      <c r="F57" s="137"/>
      <c r="G57" s="452"/>
      <c r="H57" s="780"/>
      <c r="J57" s="412"/>
      <c r="K57" s="1748" t="s">
        <v>573</v>
      </c>
      <c r="L57" s="1749"/>
      <c r="M57" s="1352">
        <f>M54+M56</f>
        <v>0</v>
      </c>
      <c r="N57" s="413"/>
      <c r="O57" s="106"/>
      <c r="P57" s="106"/>
      <c r="Q57" s="106"/>
      <c r="R57" s="660"/>
      <c r="S57" s="779"/>
      <c r="T57" s="1832" t="s">
        <v>287</v>
      </c>
      <c r="U57" s="1832"/>
      <c r="V57" s="1832"/>
      <c r="W57" s="1832"/>
      <c r="X57" s="1832"/>
      <c r="Y57" s="1559" t="s">
        <v>11</v>
      </c>
      <c r="Z57" s="780"/>
      <c r="AA57" s="660"/>
      <c r="AB57" s="660"/>
      <c r="AD57" s="174"/>
    </row>
    <row r="58" spans="2:42" ht="18" customHeight="1" thickBot="1" x14ac:dyDescent="0.25">
      <c r="B58" s="779"/>
      <c r="C58" s="452" t="s">
        <v>755</v>
      </c>
      <c r="D58" s="697"/>
      <c r="E58" s="719" t="s">
        <v>754</v>
      </c>
      <c r="F58" s="456">
        <f>((G51*G76)-(G48*G77))*G56</f>
        <v>0</v>
      </c>
      <c r="G58" s="276"/>
      <c r="H58" s="780"/>
      <c r="I58" s="660"/>
      <c r="J58" s="412"/>
      <c r="K58" s="1748" t="s">
        <v>748</v>
      </c>
      <c r="L58" s="1749"/>
      <c r="M58" s="1352">
        <f>M55+M56</f>
        <v>0</v>
      </c>
      <c r="N58" s="413"/>
      <c r="O58" s="106"/>
      <c r="P58" s="106"/>
      <c r="Q58" s="106"/>
      <c r="R58" s="310"/>
      <c r="S58" s="779"/>
      <c r="T58" s="1832" t="s">
        <v>282</v>
      </c>
      <c r="U58" s="1832"/>
      <c r="V58" s="1832"/>
      <c r="W58" s="1832"/>
      <c r="X58" s="1832"/>
      <c r="Y58" s="1559" t="s">
        <v>11</v>
      </c>
      <c r="Z58" s="780"/>
      <c r="AA58" s="310"/>
      <c r="AB58" s="310"/>
      <c r="AD58" s="174"/>
      <c r="AG58" s="174"/>
    </row>
    <row r="59" spans="2:42" ht="18" customHeight="1" thickBot="1" x14ac:dyDescent="0.3">
      <c r="B59" s="257"/>
      <c r="C59" s="258"/>
      <c r="D59" s="258"/>
      <c r="E59" s="258"/>
      <c r="F59" s="258"/>
      <c r="G59" s="258"/>
      <c r="H59" s="790"/>
      <c r="I59" s="660"/>
      <c r="J59" s="257"/>
      <c r="K59" s="258"/>
      <c r="L59" s="258"/>
      <c r="M59" s="258"/>
      <c r="N59" s="790"/>
      <c r="O59" s="106"/>
      <c r="P59" s="106"/>
      <c r="Q59" s="106"/>
      <c r="R59" s="310"/>
      <c r="S59" s="779"/>
      <c r="T59" s="1716" t="s">
        <v>284</v>
      </c>
      <c r="U59" s="1716"/>
      <c r="V59" s="1716"/>
      <c r="W59" s="1716"/>
      <c r="X59" s="1716"/>
      <c r="Y59" s="1559" t="s">
        <v>11</v>
      </c>
      <c r="Z59" s="780"/>
      <c r="AA59" s="310"/>
      <c r="AB59" s="310"/>
      <c r="AD59" s="41" t="s">
        <v>108</v>
      </c>
      <c r="AE59" s="10"/>
      <c r="AF59" s="10"/>
      <c r="AG59" s="10"/>
      <c r="AH59" s="10"/>
      <c r="AI59" s="10"/>
      <c r="AJ59" s="10"/>
      <c r="AK59" s="10"/>
      <c r="AL59" s="10"/>
      <c r="AM59" s="10"/>
      <c r="AN59" s="10"/>
      <c r="AO59" s="10"/>
      <c r="AP59" s="303"/>
    </row>
    <row r="60" spans="2:42" ht="18" customHeight="1" x14ac:dyDescent="0.25">
      <c r="I60" s="660"/>
      <c r="J60" s="660"/>
      <c r="K60" s="660"/>
      <c r="L60" s="660"/>
      <c r="M60" s="660"/>
      <c r="N60" s="660"/>
      <c r="O60" s="660"/>
      <c r="P60" s="660"/>
      <c r="Q60" s="660"/>
      <c r="R60" s="310"/>
      <c r="S60" s="779"/>
      <c r="T60" s="1832" t="s">
        <v>285</v>
      </c>
      <c r="U60" s="1832"/>
      <c r="V60" s="1832"/>
      <c r="W60" s="1832"/>
      <c r="X60" s="1832"/>
      <c r="Y60" s="1559" t="s">
        <v>11</v>
      </c>
      <c r="Z60" s="780"/>
      <c r="AA60" s="310"/>
      <c r="AB60" s="310"/>
      <c r="AD60" s="44" t="s">
        <v>16</v>
      </c>
      <c r="AE60" s="9" t="s">
        <v>26</v>
      </c>
      <c r="AF60" s="9" t="s">
        <v>17</v>
      </c>
      <c r="AG60" s="9" t="s">
        <v>18</v>
      </c>
      <c r="AH60" s="9" t="s">
        <v>19</v>
      </c>
      <c r="AI60" s="42" t="s">
        <v>22</v>
      </c>
      <c r="AJ60" s="42" t="s">
        <v>24</v>
      </c>
      <c r="AK60" s="43" t="s">
        <v>21</v>
      </c>
      <c r="AL60" s="542" t="s">
        <v>25</v>
      </c>
      <c r="AM60" s="43" t="s">
        <v>588</v>
      </c>
      <c r="AN60" s="8" t="s">
        <v>772</v>
      </c>
      <c r="AO60" s="8"/>
      <c r="AP60" s="545"/>
    </row>
    <row r="61" spans="2:42" ht="18" customHeight="1" thickBot="1" x14ac:dyDescent="0.3">
      <c r="I61" s="310"/>
      <c r="J61" s="310"/>
      <c r="K61" s="310"/>
      <c r="L61" s="310"/>
      <c r="M61" s="310"/>
      <c r="N61" s="310"/>
      <c r="O61" s="310"/>
      <c r="P61" s="310"/>
      <c r="Q61" s="310"/>
      <c r="R61" s="310"/>
      <c r="S61" s="779"/>
      <c r="T61" s="1716" t="s">
        <v>286</v>
      </c>
      <c r="U61" s="1716"/>
      <c r="V61" s="1716"/>
      <c r="W61" s="1716"/>
      <c r="X61" s="1716"/>
      <c r="Y61" s="1559" t="s">
        <v>11</v>
      </c>
      <c r="Z61" s="780"/>
      <c r="AA61" s="310"/>
      <c r="AB61" s="310"/>
      <c r="AD61" s="46"/>
      <c r="AE61" s="35"/>
      <c r="AF61" s="195">
        <f>AF62</f>
        <v>0.30000000000000004</v>
      </c>
      <c r="AG61" s="195">
        <f>AG62</f>
        <v>0.4</v>
      </c>
      <c r="AH61" s="195">
        <f>AH62</f>
        <v>0.4</v>
      </c>
      <c r="AI61" s="35"/>
      <c r="AJ61" s="35"/>
      <c r="AK61" s="35"/>
      <c r="AL61" s="35"/>
      <c r="AM61" s="35"/>
      <c r="AN61" s="35"/>
      <c r="AO61" s="46"/>
      <c r="AP61" s="251"/>
    </row>
    <row r="62" spans="2:42" ht="18" customHeight="1" thickBot="1" x14ac:dyDescent="0.3">
      <c r="B62" s="880"/>
      <c r="C62" s="873" t="s">
        <v>736</v>
      </c>
      <c r="D62" s="873"/>
      <c r="E62" s="873"/>
      <c r="F62" s="873"/>
      <c r="G62" s="873"/>
      <c r="H62" s="873"/>
      <c r="I62" s="881"/>
      <c r="J62" s="310"/>
      <c r="K62" s="310"/>
      <c r="L62" s="310"/>
      <c r="M62" s="310"/>
      <c r="N62" s="310"/>
      <c r="O62" s="310"/>
      <c r="P62" s="310"/>
      <c r="Q62" s="310"/>
      <c r="R62" s="310"/>
      <c r="S62" s="257"/>
      <c r="T62" s="258"/>
      <c r="U62" s="258"/>
      <c r="V62" s="258"/>
      <c r="W62" s="258"/>
      <c r="X62" s="258"/>
      <c r="Y62" s="897"/>
      <c r="Z62" s="790"/>
      <c r="AA62" s="310"/>
      <c r="AB62" s="310"/>
      <c r="AD62" s="46" t="str">
        <f>T28</f>
        <v>Wassersparmassnahmen</v>
      </c>
      <c r="AE62" s="196">
        <f>AL62/AM62</f>
        <v>0</v>
      </c>
      <c r="AF62" s="196">
        <f>1.1-Grün</f>
        <v>0.30000000000000004</v>
      </c>
      <c r="AG62" s="196">
        <f>1.1-Rot-AF62</f>
        <v>0.4</v>
      </c>
      <c r="AH62" s="196">
        <f>1.1-AF62-AG62</f>
        <v>0.4</v>
      </c>
      <c r="AI62" s="202">
        <v>0.8</v>
      </c>
      <c r="AJ62" s="550">
        <f>1*AI62</f>
        <v>0.8</v>
      </c>
      <c r="AK62" s="706">
        <f>AE62*AI62</f>
        <v>0</v>
      </c>
      <c r="AL62" s="544">
        <f>COUNTIF(Y29:Y35,"Ja")</f>
        <v>0</v>
      </c>
      <c r="AM62" s="407">
        <f>COUNTA(Y29:Y35)-COUNTIF(Y29:Y35,Milchverarbeitung!$AU$71)</f>
        <v>7</v>
      </c>
      <c r="AN62" s="35"/>
      <c r="AO62" s="15"/>
      <c r="AP62" s="251"/>
    </row>
    <row r="63" spans="2:42" ht="18" customHeight="1" x14ac:dyDescent="0.25">
      <c r="B63" s="1617" t="s">
        <v>756</v>
      </c>
      <c r="C63" s="1618"/>
      <c r="D63" s="1618"/>
      <c r="E63" s="1618"/>
      <c r="F63" s="1618"/>
      <c r="G63" s="1618"/>
      <c r="H63" s="1618"/>
      <c r="I63" s="1619"/>
      <c r="J63" s="310"/>
      <c r="K63" s="310"/>
      <c r="L63" s="310"/>
      <c r="M63" s="310"/>
      <c r="N63" s="310"/>
      <c r="O63" s="310"/>
      <c r="P63" s="310"/>
      <c r="Q63" s="310"/>
      <c r="R63" s="310"/>
      <c r="S63" s="944"/>
      <c r="T63" s="945"/>
      <c r="U63" s="944"/>
      <c r="V63" s="944"/>
      <c r="W63" s="944"/>
      <c r="X63" s="944"/>
      <c r="Y63" s="944"/>
      <c r="Z63" s="944"/>
      <c r="AA63" s="310"/>
      <c r="AB63" s="310"/>
      <c r="AD63" s="58" t="str">
        <f>T37</f>
        <v>Reinigung</v>
      </c>
      <c r="AE63" s="547">
        <f t="shared" ref="AE63:AE65" si="13">AL63/AM63</f>
        <v>0</v>
      </c>
      <c r="AF63" s="196">
        <f>1.1-Grün</f>
        <v>0.30000000000000004</v>
      </c>
      <c r="AG63" s="196">
        <f>1.1-Rot-AF63</f>
        <v>0.4</v>
      </c>
      <c r="AH63" s="196">
        <f>1.1-AF63-AG63</f>
        <v>0.4</v>
      </c>
      <c r="AI63" s="202">
        <v>1</v>
      </c>
      <c r="AJ63" s="550">
        <f>1*AI63</f>
        <v>1</v>
      </c>
      <c r="AK63" s="706">
        <f>AE63*AI63</f>
        <v>0</v>
      </c>
      <c r="AL63" s="544">
        <f>COUNTIF(Y38:Y44,"Ja")</f>
        <v>0</v>
      </c>
      <c r="AM63" s="407">
        <f>COUNTA(Y38:Y44)-COUNTIF(Y38:Y44,Milchverarbeitung!$AU$71)</f>
        <v>7</v>
      </c>
      <c r="AN63" s="35"/>
      <c r="AO63" s="15"/>
      <c r="AP63" s="251"/>
    </row>
    <row r="64" spans="2:42" ht="18" customHeight="1" x14ac:dyDescent="0.25">
      <c r="B64" s="1617"/>
      <c r="C64" s="1618"/>
      <c r="D64" s="1618"/>
      <c r="E64" s="1618"/>
      <c r="F64" s="1618"/>
      <c r="G64" s="1618"/>
      <c r="H64" s="1618"/>
      <c r="I64" s="1619"/>
      <c r="J64" s="310"/>
      <c r="K64" s="310"/>
      <c r="L64" s="310"/>
      <c r="M64" s="310"/>
      <c r="N64" s="310"/>
      <c r="O64" s="310"/>
      <c r="P64" s="310"/>
      <c r="Q64" s="310"/>
      <c r="R64" s="310"/>
      <c r="V64" s="946"/>
      <c r="AA64" s="310"/>
      <c r="AB64" s="310"/>
      <c r="AD64" s="46" t="str">
        <f>T46</f>
        <v>Abwasserbelastung</v>
      </c>
      <c r="AE64" s="547">
        <f t="shared" si="13"/>
        <v>0</v>
      </c>
      <c r="AF64" s="196">
        <f>1.1-Grün</f>
        <v>0.30000000000000004</v>
      </c>
      <c r="AG64" s="196">
        <f>1.1-Rot-AF64</f>
        <v>0.4</v>
      </c>
      <c r="AH64" s="196">
        <f>1.1-AF64-AG64</f>
        <v>0.4</v>
      </c>
      <c r="AI64" s="202">
        <v>1</v>
      </c>
      <c r="AJ64" s="550">
        <f>1*AI64</f>
        <v>1</v>
      </c>
      <c r="AK64" s="706">
        <f>AE64*AI64</f>
        <v>0</v>
      </c>
      <c r="AL64" s="544">
        <f>COUNTIF(Y47:Y52,"Ja")</f>
        <v>0</v>
      </c>
      <c r="AM64" s="407">
        <f>COUNTA(Y47:Y52)-COUNTIF(Y47:Y52,Milchverarbeitung!$AU$71)</f>
        <v>6</v>
      </c>
      <c r="AN64" s="35">
        <v>0.85</v>
      </c>
      <c r="AO64" s="15"/>
      <c r="AP64" s="669"/>
    </row>
    <row r="65" spans="2:42" ht="18" customHeight="1" x14ac:dyDescent="0.25">
      <c r="B65" s="882"/>
      <c r="C65" s="856"/>
      <c r="D65" s="856" t="s">
        <v>750</v>
      </c>
      <c r="E65" s="856" t="s">
        <v>751</v>
      </c>
      <c r="F65" s="399"/>
      <c r="G65" s="399"/>
      <c r="H65" s="399"/>
      <c r="I65" s="883"/>
      <c r="J65" s="310"/>
      <c r="K65" s="310"/>
      <c r="L65" s="310"/>
      <c r="M65" s="310"/>
      <c r="N65" s="310"/>
      <c r="O65" s="310"/>
      <c r="P65" s="310"/>
      <c r="Q65" s="310"/>
      <c r="R65" s="310"/>
      <c r="T65" s="1830"/>
      <c r="U65" s="1830"/>
      <c r="V65" s="1831"/>
      <c r="W65" s="1831"/>
      <c r="X65" s="1831"/>
      <c r="Y65" s="1831"/>
      <c r="AA65" s="310"/>
      <c r="AB65" s="310"/>
      <c r="AD65" s="46" t="str">
        <f>T54</f>
        <v>Energieverbrauch</v>
      </c>
      <c r="AE65" s="547">
        <f t="shared" si="13"/>
        <v>0</v>
      </c>
      <c r="AF65" s="196">
        <f>1.1-Grün</f>
        <v>0.30000000000000004</v>
      </c>
      <c r="AG65" s="196">
        <f>1.1-Rot-AF65</f>
        <v>0.4</v>
      </c>
      <c r="AH65" s="196">
        <f>1.1-AF65-AG65</f>
        <v>0.4</v>
      </c>
      <c r="AI65" s="202">
        <v>0.8</v>
      </c>
      <c r="AJ65" s="550">
        <f>1*AI65</f>
        <v>0.8</v>
      </c>
      <c r="AK65" s="706">
        <f>AE65*AI65</f>
        <v>0</v>
      </c>
      <c r="AL65" s="544">
        <f>COUNTIF(Y55:Y61,"Ja")</f>
        <v>0</v>
      </c>
      <c r="AM65" s="407">
        <f>COUNTA(Y55:Y61)-COUNTIF(Y55:Y61,Milchverarbeitung!$AU$71)</f>
        <v>7</v>
      </c>
      <c r="AN65" s="35"/>
      <c r="AO65" s="15"/>
      <c r="AP65" s="251"/>
    </row>
    <row r="66" spans="2:42" ht="18" customHeight="1" x14ac:dyDescent="0.25">
      <c r="B66" s="882"/>
      <c r="C66" s="860" t="s">
        <v>737</v>
      </c>
      <c r="D66" s="861">
        <f>G51</f>
        <v>0</v>
      </c>
      <c r="E66" s="876">
        <f>G48</f>
        <v>0</v>
      </c>
      <c r="F66" s="860" t="s">
        <v>738</v>
      </c>
      <c r="G66" s="861">
        <f>D67/2</f>
        <v>0</v>
      </c>
      <c r="H66" s="861">
        <f>E66/2</f>
        <v>0</v>
      </c>
      <c r="I66" s="883"/>
      <c r="J66" s="310"/>
      <c r="K66" s="310"/>
      <c r="L66" s="310"/>
      <c r="M66" s="310"/>
      <c r="N66" s="310"/>
      <c r="O66" s="310"/>
      <c r="P66" s="310"/>
      <c r="Q66" s="310"/>
      <c r="R66" s="310"/>
      <c r="T66" s="1830"/>
      <c r="U66" s="1830"/>
      <c r="V66" s="1815"/>
      <c r="W66" s="1815"/>
      <c r="X66" s="1815"/>
      <c r="Y66" s="1815"/>
      <c r="AA66" s="310"/>
      <c r="AB66" s="310"/>
      <c r="AD66" s="46"/>
      <c r="AE66" s="35"/>
      <c r="AF66" s="196">
        <f>1.1-Grün</f>
        <v>0.30000000000000004</v>
      </c>
      <c r="AG66" s="196">
        <f>1.1-Rot-AF66</f>
        <v>0.4</v>
      </c>
      <c r="AH66" s="196">
        <f>1.1-AF66-AG66</f>
        <v>0.4</v>
      </c>
      <c r="AI66" s="35"/>
      <c r="AJ66" s="35"/>
      <c r="AK66" s="35"/>
      <c r="AL66" s="35"/>
      <c r="AM66" s="35"/>
      <c r="AN66" s="35"/>
      <c r="AO66" s="46"/>
      <c r="AP66" s="251"/>
    </row>
    <row r="67" spans="2:42" ht="18" customHeight="1" x14ac:dyDescent="0.25">
      <c r="B67" s="882"/>
      <c r="C67" s="860" t="s">
        <v>739</v>
      </c>
      <c r="D67" s="861">
        <f>IF(F51&gt;0,F51,D68*2)</f>
        <v>0</v>
      </c>
      <c r="E67" s="876">
        <f>IF(F48&gt;0,F48,E68*2)</f>
        <v>0</v>
      </c>
      <c r="F67" s="860" t="s">
        <v>740</v>
      </c>
      <c r="G67" s="862">
        <f>D67/3*0.17</f>
        <v>0</v>
      </c>
      <c r="H67" s="862">
        <f>E67/3*0.17</f>
        <v>0</v>
      </c>
      <c r="I67" s="883"/>
      <c r="J67" s="310"/>
      <c r="K67" s="310"/>
      <c r="L67" s="310"/>
      <c r="M67" s="310"/>
      <c r="N67" s="310"/>
      <c r="O67" s="310"/>
      <c r="P67" s="310"/>
      <c r="Q67" s="310"/>
      <c r="R67" s="310"/>
      <c r="T67" s="205"/>
      <c r="U67" s="205"/>
      <c r="V67" s="1815"/>
      <c r="W67" s="1815"/>
      <c r="X67" s="1815"/>
      <c r="Y67" s="1815"/>
      <c r="AA67" s="310"/>
      <c r="AB67" s="310"/>
      <c r="AD67" s="10"/>
      <c r="AE67" s="10"/>
      <c r="AF67" s="10"/>
      <c r="AG67" s="10"/>
      <c r="AH67" s="10"/>
      <c r="AI67" s="55" t="s">
        <v>23</v>
      </c>
      <c r="AJ67" s="707">
        <f>SUM(AJ62:AJ65)</f>
        <v>3.5999999999999996</v>
      </c>
      <c r="AK67" s="707">
        <f>SUM(AK62:AK65)</f>
        <v>0</v>
      </c>
      <c r="AL67" s="707">
        <f>SUM(AL62:AL65)</f>
        <v>0</v>
      </c>
      <c r="AM67" s="101"/>
      <c r="AN67" s="101"/>
      <c r="AO67" s="10"/>
      <c r="AP67" s="251"/>
    </row>
    <row r="68" spans="2:42" ht="18" customHeight="1" x14ac:dyDescent="0.25">
      <c r="B68" s="882"/>
      <c r="C68" s="860" t="s">
        <v>749</v>
      </c>
      <c r="D68" s="862">
        <f>E51</f>
        <v>0</v>
      </c>
      <c r="E68" s="876">
        <f>E48</f>
        <v>0</v>
      </c>
      <c r="F68" s="860" t="s">
        <v>741</v>
      </c>
      <c r="G68" s="862">
        <f>D67/3*0.03</f>
        <v>0</v>
      </c>
      <c r="H68" s="862">
        <f>E67/3*0.03</f>
        <v>0</v>
      </c>
      <c r="I68" s="883"/>
      <c r="J68" s="310"/>
      <c r="K68" s="310"/>
      <c r="L68" s="310"/>
      <c r="M68" s="310"/>
      <c r="N68" s="310"/>
      <c r="O68" s="310"/>
      <c r="P68" s="310"/>
      <c r="Q68" s="310"/>
      <c r="R68" s="310"/>
      <c r="AA68" s="310"/>
      <c r="AB68" s="310"/>
      <c r="AD68" s="10"/>
      <c r="AE68" s="10"/>
      <c r="AF68" s="10"/>
      <c r="AG68" s="10"/>
      <c r="AH68" s="10"/>
      <c r="AI68" s="9" t="s">
        <v>21</v>
      </c>
      <c r="AJ68" s="708"/>
      <c r="AK68" s="706">
        <f>AK67/AJ67</f>
        <v>0</v>
      </c>
      <c r="AL68" s="708"/>
      <c r="AM68" s="105"/>
      <c r="AN68" s="105"/>
      <c r="AO68" s="10"/>
      <c r="AP68" s="251"/>
    </row>
    <row r="69" spans="2:42" ht="52.5" customHeight="1" x14ac:dyDescent="0.35">
      <c r="B69" s="882"/>
      <c r="C69" s="877" t="s">
        <v>712</v>
      </c>
      <c r="D69" s="864">
        <f>D67+Zuschlag!$B$35*Zuschlag!$B$34*G67</f>
        <v>0</v>
      </c>
      <c r="E69" s="864">
        <f>E67+Zuschlag!$B$35*Zuschlag!$B$34*H67</f>
        <v>0</v>
      </c>
      <c r="F69" s="865" t="s">
        <v>715</v>
      </c>
      <c r="G69" s="866">
        <f>D66/Zuschlag!$B$22</f>
        <v>0</v>
      </c>
      <c r="H69" s="866">
        <f>E66/Zuschlag!$B$22</f>
        <v>0</v>
      </c>
      <c r="I69" s="883"/>
      <c r="J69" s="310"/>
      <c r="K69" s="310"/>
      <c r="L69" s="310"/>
      <c r="M69" s="310"/>
      <c r="N69" s="310"/>
      <c r="O69" s="310"/>
      <c r="P69" s="310"/>
      <c r="Q69" s="310"/>
      <c r="R69" s="310"/>
      <c r="S69" s="310"/>
      <c r="T69" s="310"/>
      <c r="U69" s="310"/>
      <c r="V69" s="310"/>
      <c r="W69" s="310"/>
      <c r="X69" s="310"/>
      <c r="Y69" s="310"/>
      <c r="Z69" s="310"/>
      <c r="AA69" s="310"/>
      <c r="AB69" s="310"/>
      <c r="AD69" s="10"/>
      <c r="AE69" s="10"/>
      <c r="AF69" s="10"/>
      <c r="AG69" s="10"/>
      <c r="AH69" s="10"/>
      <c r="AI69" s="107" t="s">
        <v>27</v>
      </c>
      <c r="AJ69" s="709"/>
      <c r="AK69" s="708">
        <f>SUM(AM62:AM65)</f>
        <v>27</v>
      </c>
      <c r="AL69" s="710"/>
      <c r="AM69" s="10"/>
      <c r="AN69" s="10"/>
      <c r="AO69" s="10"/>
      <c r="AP69" s="111"/>
    </row>
    <row r="70" spans="2:42" ht="18" customHeight="1" x14ac:dyDescent="0.35">
      <c r="B70" s="882"/>
      <c r="C70" s="877" t="s">
        <v>713</v>
      </c>
      <c r="D70" s="864">
        <f>G66+Zuschlag!$B$36*D67+Zuschlag!$B$37*G68</f>
        <v>0</v>
      </c>
      <c r="E70" s="864">
        <f>H66+Zuschlag!$B$36*E67+Zuschlag!$B$37*H68</f>
        <v>0</v>
      </c>
      <c r="F70" s="865" t="s">
        <v>716</v>
      </c>
      <c r="G70" s="866">
        <f>D69/Zuschlag!$B$23</f>
        <v>0</v>
      </c>
      <c r="H70" s="866">
        <f>E69/Zuschlag!$B$23</f>
        <v>0</v>
      </c>
      <c r="I70" s="883"/>
      <c r="J70" s="660"/>
      <c r="K70" s="660"/>
      <c r="L70" s="660"/>
      <c r="M70" s="660"/>
      <c r="N70" s="660"/>
      <c r="O70" s="660"/>
      <c r="P70" s="660"/>
      <c r="Q70" s="660"/>
      <c r="R70" s="660"/>
      <c r="S70" s="660"/>
      <c r="T70" s="660"/>
      <c r="U70" s="660"/>
      <c r="V70" s="660"/>
      <c r="W70" s="660"/>
      <c r="X70" s="660"/>
      <c r="Y70" s="660"/>
      <c r="Z70" s="660"/>
      <c r="AA70" s="660"/>
      <c r="AB70" s="660"/>
      <c r="AC70" s="113"/>
      <c r="AP70" s="303"/>
    </row>
    <row r="71" spans="2:42" ht="30" customHeight="1" x14ac:dyDescent="0.35">
      <c r="B71" s="882"/>
      <c r="C71" s="877" t="s">
        <v>714</v>
      </c>
      <c r="D71" s="864">
        <f>G68</f>
        <v>0</v>
      </c>
      <c r="E71" s="864">
        <f>H68</f>
        <v>0</v>
      </c>
      <c r="F71" s="865" t="s">
        <v>717</v>
      </c>
      <c r="G71" s="866">
        <f>D70/Zuschlag!$B$24</f>
        <v>0</v>
      </c>
      <c r="H71" s="866">
        <f>E70/Zuschlag!$B$24</f>
        <v>0</v>
      </c>
      <c r="I71" s="883"/>
      <c r="J71" s="660"/>
      <c r="K71" s="660"/>
      <c r="L71" s="660"/>
      <c r="M71" s="660"/>
      <c r="N71" s="660"/>
      <c r="O71" s="660"/>
      <c r="P71" s="660"/>
      <c r="Q71" s="660"/>
      <c r="R71" s="660"/>
      <c r="S71" s="660"/>
      <c r="T71" s="660"/>
      <c r="U71" s="660"/>
      <c r="V71" s="660"/>
      <c r="W71" s="660"/>
      <c r="X71" s="660"/>
      <c r="Y71" s="660"/>
      <c r="Z71" s="660"/>
      <c r="AA71" s="660"/>
      <c r="AB71" s="660"/>
      <c r="AC71" s="112"/>
      <c r="AD71" s="660"/>
      <c r="AE71" s="660"/>
      <c r="AF71" s="660"/>
      <c r="AG71" s="660"/>
      <c r="AH71" s="660"/>
      <c r="AI71" s="243"/>
      <c r="AJ71" s="303"/>
      <c r="AK71" s="303"/>
      <c r="AL71" s="892"/>
      <c r="AM71" s="303"/>
      <c r="AN71" s="303"/>
      <c r="AO71" s="660"/>
      <c r="AP71" s="303"/>
    </row>
    <row r="72" spans="2:42" ht="30" customHeight="1" x14ac:dyDescent="0.35">
      <c r="B72" s="882"/>
      <c r="C72" s="378"/>
      <c r="D72" s="378"/>
      <c r="E72" s="67"/>
      <c r="F72" s="865" t="s">
        <v>718</v>
      </c>
      <c r="G72" s="866">
        <f>D71/Zuschlag!$B$21</f>
        <v>0</v>
      </c>
      <c r="H72" s="866">
        <f>E71/Zuschlag!$B$21</f>
        <v>0</v>
      </c>
      <c r="I72" s="883"/>
      <c r="J72" s="660"/>
      <c r="K72" s="660"/>
      <c r="L72" s="660"/>
      <c r="M72" s="660"/>
      <c r="N72" s="660"/>
      <c r="O72" s="660"/>
      <c r="P72" s="660"/>
      <c r="Q72" s="660"/>
      <c r="R72" s="660"/>
      <c r="S72" s="660"/>
      <c r="T72" s="660"/>
      <c r="U72" s="660"/>
      <c r="V72" s="660"/>
      <c r="W72" s="660"/>
      <c r="X72" s="660"/>
      <c r="Y72" s="660"/>
      <c r="Z72" s="660"/>
      <c r="AA72" s="660"/>
      <c r="AB72" s="660"/>
      <c r="AC72" s="112"/>
      <c r="AD72" s="174"/>
    </row>
    <row r="73" spans="2:42" ht="18" customHeight="1" x14ac:dyDescent="0.25">
      <c r="B73" s="882"/>
      <c r="C73" s="877" t="s">
        <v>719</v>
      </c>
      <c r="D73" s="666" t="e">
        <f>G70/G69</f>
        <v>#DIV/0!</v>
      </c>
      <c r="E73" s="666" t="e">
        <f>H70/H69</f>
        <v>#DIV/0!</v>
      </c>
      <c r="F73" s="378"/>
      <c r="G73" s="459"/>
      <c r="H73" s="378"/>
      <c r="I73" s="883"/>
      <c r="J73" s="660"/>
      <c r="K73" s="660"/>
      <c r="L73" s="660"/>
      <c r="M73" s="660"/>
      <c r="N73" s="660"/>
      <c r="O73" s="660"/>
      <c r="P73" s="660"/>
      <c r="Q73" s="660"/>
      <c r="R73" s="660"/>
      <c r="S73" s="660"/>
      <c r="T73" s="660"/>
      <c r="U73" s="660"/>
      <c r="V73" s="660"/>
      <c r="W73" s="660"/>
      <c r="X73" s="660"/>
      <c r="Y73" s="660"/>
      <c r="Z73" s="660"/>
      <c r="AA73" s="660"/>
      <c r="AB73" s="660"/>
      <c r="AC73" s="112"/>
      <c r="AD73" s="174"/>
    </row>
    <row r="74" spans="2:42" ht="30" customHeight="1" x14ac:dyDescent="0.25">
      <c r="B74" s="882"/>
      <c r="C74" s="877" t="s">
        <v>720</v>
      </c>
      <c r="D74" s="666" t="e">
        <f>G71/G69</f>
        <v>#DIV/0!</v>
      </c>
      <c r="E74" s="666" t="e">
        <f>H71/H69</f>
        <v>#DIV/0!</v>
      </c>
      <c r="F74" s="378"/>
      <c r="G74" s="378"/>
      <c r="H74" s="378"/>
      <c r="I74" s="883"/>
      <c r="J74" s="660"/>
      <c r="K74" s="660"/>
      <c r="L74" s="660"/>
      <c r="M74" s="660"/>
      <c r="N74" s="660"/>
      <c r="O74" s="660"/>
      <c r="P74" s="660"/>
      <c r="Q74" s="660"/>
      <c r="R74" s="660"/>
      <c r="S74" s="660"/>
      <c r="T74" s="660"/>
      <c r="U74" s="660"/>
      <c r="V74" s="660"/>
      <c r="W74" s="660"/>
      <c r="X74" s="660"/>
      <c r="Y74" s="660"/>
      <c r="Z74" s="660"/>
      <c r="AA74" s="660"/>
      <c r="AB74" s="660"/>
      <c r="AC74" s="112"/>
      <c r="AD74" s="174"/>
    </row>
    <row r="75" spans="2:42" ht="18" customHeight="1" x14ac:dyDescent="0.25">
      <c r="B75" s="882"/>
      <c r="C75" s="877" t="s">
        <v>721</v>
      </c>
      <c r="D75" s="666" t="e">
        <f>G72/G69</f>
        <v>#DIV/0!</v>
      </c>
      <c r="E75" s="666" t="e">
        <f>H72/H69</f>
        <v>#DIV/0!</v>
      </c>
      <c r="F75" s="67"/>
      <c r="G75" s="67"/>
      <c r="H75" s="378"/>
      <c r="I75" s="883"/>
      <c r="J75" s="660"/>
      <c r="K75" s="660"/>
      <c r="L75" s="660"/>
      <c r="M75" s="660"/>
      <c r="N75" s="660"/>
      <c r="O75" s="660"/>
      <c r="P75" s="660"/>
      <c r="Q75" s="660"/>
      <c r="R75" s="660"/>
      <c r="S75" s="660"/>
      <c r="T75" s="660"/>
      <c r="U75" s="660"/>
      <c r="V75" s="660"/>
      <c r="W75" s="660"/>
      <c r="X75" s="660"/>
      <c r="Y75" s="660"/>
      <c r="Z75" s="660"/>
      <c r="AA75" s="660"/>
      <c r="AB75" s="660"/>
      <c r="AC75" s="112"/>
      <c r="AD75" s="174"/>
    </row>
    <row r="76" spans="2:42" ht="30" customHeight="1" x14ac:dyDescent="0.25">
      <c r="B76" s="882"/>
      <c r="C76" s="378"/>
      <c r="D76" s="869" t="s">
        <v>742</v>
      </c>
      <c r="E76" s="378"/>
      <c r="F76" s="878" t="s">
        <v>752</v>
      </c>
      <c r="G76" s="879">
        <f>IFERROR(IF(D67&gt;0,Zuschlag!$B$28+Zuschlag!$B$29*D77+Zuschlag!$B$31*D78+Zuschlag!$B$30*D79,0),0)</f>
        <v>0</v>
      </c>
      <c r="H76" s="67"/>
      <c r="I76" s="883"/>
      <c r="J76" s="660"/>
      <c r="K76" s="660"/>
      <c r="L76" s="660"/>
      <c r="M76" s="660"/>
      <c r="N76" s="660"/>
      <c r="O76" s="660"/>
      <c r="P76" s="660"/>
      <c r="Q76" s="660"/>
      <c r="R76" s="660"/>
      <c r="S76" s="660"/>
      <c r="T76" s="660"/>
      <c r="U76" s="660"/>
      <c r="V76" s="660"/>
      <c r="W76" s="660"/>
      <c r="X76" s="660"/>
      <c r="Y76" s="660"/>
      <c r="Z76" s="660"/>
      <c r="AA76" s="660"/>
      <c r="AB76" s="660"/>
      <c r="AC76" s="112"/>
      <c r="AD76" s="174"/>
    </row>
    <row r="77" spans="2:42" ht="30" customHeight="1" x14ac:dyDescent="0.25">
      <c r="B77" s="882"/>
      <c r="C77" s="877" t="s">
        <v>719</v>
      </c>
      <c r="D77" s="666" t="e">
        <f t="shared" ref="D77:E79" si="14">IF(D73&lt;1,1,D73)</f>
        <v>#DIV/0!</v>
      </c>
      <c r="E77" s="666" t="e">
        <f t="shared" si="14"/>
        <v>#DIV/0!</v>
      </c>
      <c r="F77" s="878" t="s">
        <v>753</v>
      </c>
      <c r="G77" s="879">
        <f>IFERROR(IF(E67&gt;0,Zuschlag!$B$28+Zuschlag!$B$29*E77+Zuschlag!$B$31*E78+Zuschlag!$B$30*E79,0),0)</f>
        <v>0</v>
      </c>
      <c r="H77" s="67"/>
      <c r="I77" s="883"/>
      <c r="J77" s="660"/>
      <c r="K77" s="660"/>
      <c r="L77" s="660"/>
      <c r="M77" s="660"/>
      <c r="N77" s="660"/>
      <c r="O77" s="660"/>
      <c r="P77" s="660"/>
      <c r="Q77" s="660"/>
      <c r="R77" s="660"/>
      <c r="S77" s="660"/>
      <c r="T77" s="660"/>
      <c r="U77" s="660"/>
      <c r="V77" s="660"/>
      <c r="W77" s="660"/>
      <c r="X77" s="660"/>
      <c r="Y77" s="660"/>
      <c r="Z77" s="660"/>
      <c r="AA77" s="660"/>
      <c r="AB77" s="660"/>
      <c r="AC77" s="112"/>
    </row>
    <row r="78" spans="2:42" ht="18" customHeight="1" x14ac:dyDescent="0.2">
      <c r="B78" s="882"/>
      <c r="C78" s="877" t="s">
        <v>720</v>
      </c>
      <c r="D78" s="666" t="e">
        <f t="shared" si="14"/>
        <v>#DIV/0!</v>
      </c>
      <c r="E78" s="666" t="e">
        <f t="shared" si="14"/>
        <v>#DIV/0!</v>
      </c>
      <c r="F78" s="67"/>
      <c r="G78" s="67"/>
      <c r="H78" s="67"/>
      <c r="I78" s="883"/>
      <c r="J78" s="660"/>
      <c r="K78" s="660"/>
      <c r="L78" s="660"/>
      <c r="M78" s="660"/>
      <c r="N78" s="660"/>
      <c r="O78" s="660"/>
      <c r="P78" s="660"/>
      <c r="Q78" s="660"/>
      <c r="R78" s="660"/>
      <c r="S78" s="660"/>
      <c r="T78" s="660"/>
      <c r="U78" s="660"/>
      <c r="V78" s="660"/>
      <c r="W78" s="660"/>
      <c r="X78" s="660"/>
      <c r="Y78" s="660"/>
      <c r="Z78" s="660"/>
      <c r="AA78" s="660"/>
      <c r="AB78" s="660"/>
      <c r="AD78" s="174"/>
    </row>
    <row r="79" spans="2:42" ht="18" customHeight="1" thickBot="1" x14ac:dyDescent="0.25">
      <c r="B79" s="884"/>
      <c r="C79" s="885" t="s">
        <v>721</v>
      </c>
      <c r="D79" s="886" t="e">
        <f t="shared" si="14"/>
        <v>#DIV/0!</v>
      </c>
      <c r="E79" s="886" t="e">
        <f t="shared" si="14"/>
        <v>#DIV/0!</v>
      </c>
      <c r="F79" s="887"/>
      <c r="G79" s="887"/>
      <c r="H79" s="887"/>
      <c r="I79" s="888"/>
      <c r="J79" s="660"/>
      <c r="K79" s="660"/>
      <c r="L79" s="660"/>
      <c r="M79" s="660"/>
      <c r="N79" s="660"/>
      <c r="O79" s="660"/>
      <c r="P79" s="660"/>
      <c r="Q79" s="660"/>
      <c r="R79" s="660"/>
      <c r="S79" s="660"/>
      <c r="T79" s="660"/>
      <c r="U79" s="660"/>
      <c r="V79" s="660"/>
      <c r="W79" s="660"/>
      <c r="X79" s="660"/>
      <c r="Y79" s="660"/>
      <c r="Z79" s="660"/>
      <c r="AA79" s="660"/>
      <c r="AB79" s="660"/>
      <c r="AD79" s="174"/>
    </row>
    <row r="80" spans="2:42" ht="18" customHeight="1" x14ac:dyDescent="0.25">
      <c r="J80" s="660"/>
      <c r="K80" s="660"/>
      <c r="L80" s="660"/>
      <c r="M80" s="660"/>
      <c r="N80" s="660"/>
      <c r="O80" s="660"/>
      <c r="P80" s="660"/>
      <c r="Q80" s="660"/>
      <c r="R80" s="660"/>
      <c r="S80" s="660"/>
      <c r="T80" s="660"/>
      <c r="U80" s="660"/>
      <c r="V80" s="660"/>
      <c r="W80" s="660"/>
      <c r="X80" s="660"/>
      <c r="Y80" s="660"/>
      <c r="Z80" s="660"/>
      <c r="AA80" s="660"/>
      <c r="AB80" s="660"/>
      <c r="AC80" s="112"/>
      <c r="AD80" s="174"/>
    </row>
    <row r="81" spans="9:30" ht="30" customHeight="1" x14ac:dyDescent="0.25">
      <c r="J81" s="660"/>
      <c r="K81" s="660"/>
      <c r="L81" s="660"/>
      <c r="M81" s="660"/>
      <c r="N81" s="660"/>
      <c r="O81" s="660"/>
      <c r="P81" s="660"/>
      <c r="Q81" s="660"/>
      <c r="R81" s="660"/>
      <c r="S81" s="660"/>
      <c r="T81" s="660"/>
      <c r="U81" s="660"/>
      <c r="V81" s="660"/>
      <c r="W81" s="660"/>
      <c r="X81" s="660"/>
      <c r="Y81" s="660"/>
      <c r="Z81" s="660"/>
      <c r="AA81" s="660"/>
      <c r="AB81" s="660"/>
      <c r="AC81" s="112"/>
      <c r="AD81" s="174"/>
    </row>
    <row r="82" spans="9:30" ht="30" hidden="1" customHeight="1" x14ac:dyDescent="0.25">
      <c r="J82" s="660"/>
      <c r="K82" s="660"/>
      <c r="L82" s="660"/>
      <c r="M82" s="660"/>
      <c r="N82" s="660"/>
      <c r="O82" s="660"/>
      <c r="P82" s="660"/>
      <c r="Q82" s="660"/>
      <c r="R82" s="660"/>
      <c r="S82" s="660"/>
      <c r="T82" s="660"/>
      <c r="U82" s="660"/>
      <c r="V82" s="660"/>
      <c r="W82" s="660"/>
      <c r="X82" s="660"/>
      <c r="Y82" s="660"/>
      <c r="Z82" s="660"/>
      <c r="AA82" s="660"/>
      <c r="AB82" s="660"/>
      <c r="AC82" s="112"/>
      <c r="AD82" s="174"/>
    </row>
    <row r="83" spans="9:30" ht="30" hidden="1" customHeight="1" x14ac:dyDescent="0.25">
      <c r="J83" s="660"/>
      <c r="K83" s="660"/>
      <c r="L83" s="660"/>
      <c r="M83" s="660"/>
      <c r="N83" s="660"/>
      <c r="O83" s="660"/>
      <c r="P83" s="660"/>
      <c r="Q83" s="660"/>
      <c r="R83" s="660"/>
      <c r="S83" s="660"/>
      <c r="T83" s="660"/>
      <c r="U83" s="660"/>
      <c r="V83" s="660"/>
      <c r="W83" s="660"/>
      <c r="X83" s="660"/>
      <c r="Y83" s="660"/>
      <c r="Z83" s="660"/>
      <c r="AA83" s="660"/>
      <c r="AB83" s="660"/>
      <c r="AC83" s="112"/>
      <c r="AD83" s="174"/>
    </row>
    <row r="84" spans="9:30" ht="18" hidden="1" customHeight="1" x14ac:dyDescent="0.25">
      <c r="J84" s="660"/>
      <c r="K84" s="660"/>
      <c r="L84" s="660"/>
      <c r="M84" s="660"/>
      <c r="N84" s="660"/>
      <c r="O84" s="660"/>
      <c r="P84" s="660"/>
      <c r="Q84" s="660"/>
      <c r="R84" s="660"/>
      <c r="S84" s="660"/>
      <c r="T84" s="660"/>
      <c r="U84" s="660"/>
      <c r="V84" s="660"/>
      <c r="W84" s="660"/>
      <c r="X84" s="660"/>
      <c r="Y84" s="660"/>
      <c r="Z84" s="660"/>
      <c r="AA84" s="660"/>
      <c r="AB84" s="660"/>
      <c r="AC84" s="112"/>
      <c r="AD84" s="174"/>
    </row>
    <row r="85" spans="9:30" ht="30" hidden="1" customHeight="1" x14ac:dyDescent="0.25">
      <c r="J85" s="660"/>
      <c r="K85" s="660"/>
      <c r="L85" s="660"/>
      <c r="M85" s="660"/>
      <c r="N85" s="660"/>
      <c r="O85" s="660"/>
      <c r="P85" s="660"/>
      <c r="Q85" s="660"/>
      <c r="R85" s="660"/>
      <c r="S85" s="660"/>
      <c r="T85" s="660"/>
      <c r="U85" s="660"/>
      <c r="V85" s="660"/>
      <c r="W85" s="660"/>
      <c r="X85" s="660"/>
      <c r="Y85" s="660"/>
      <c r="Z85" s="660"/>
      <c r="AA85" s="660"/>
      <c r="AB85" s="660"/>
      <c r="AC85" s="112"/>
      <c r="AD85" s="174"/>
    </row>
    <row r="86" spans="9:30" ht="30" hidden="1" customHeight="1" x14ac:dyDescent="0.25">
      <c r="I86" s="660"/>
      <c r="J86" s="660"/>
      <c r="K86" s="660"/>
      <c r="L86" s="660"/>
      <c r="M86" s="660"/>
      <c r="N86" s="660"/>
      <c r="O86" s="660"/>
      <c r="P86" s="660"/>
      <c r="Q86" s="660"/>
      <c r="R86" s="660"/>
      <c r="S86" s="660"/>
      <c r="T86" s="660"/>
      <c r="U86" s="660"/>
      <c r="V86" s="660"/>
      <c r="W86" s="660"/>
      <c r="X86" s="660"/>
      <c r="Y86" s="660"/>
      <c r="Z86" s="660"/>
      <c r="AA86" s="660"/>
      <c r="AB86" s="660"/>
      <c r="AC86" s="112"/>
      <c r="AD86" s="174"/>
    </row>
    <row r="87" spans="9:30" ht="18" hidden="1" customHeight="1" x14ac:dyDescent="0.2">
      <c r="I87" s="660"/>
      <c r="J87" s="660"/>
      <c r="K87" s="660"/>
      <c r="L87" s="660"/>
      <c r="M87" s="660"/>
      <c r="N87" s="660"/>
      <c r="O87" s="660"/>
      <c r="P87" s="660"/>
      <c r="Q87" s="660"/>
      <c r="R87" s="660"/>
      <c r="S87" s="660"/>
      <c r="T87" s="660"/>
      <c r="U87" s="660"/>
      <c r="V87" s="660"/>
      <c r="W87" s="660"/>
      <c r="X87" s="660"/>
      <c r="Y87" s="660"/>
      <c r="Z87" s="660"/>
      <c r="AA87" s="660"/>
      <c r="AB87" s="660"/>
      <c r="AD87" s="174"/>
    </row>
    <row r="88" spans="9:30" ht="18" hidden="1" customHeight="1" x14ac:dyDescent="0.2">
      <c r="I88" s="303"/>
      <c r="J88" s="303"/>
      <c r="K88" s="303"/>
      <c r="L88" s="303"/>
      <c r="M88" s="303"/>
      <c r="N88" s="303"/>
      <c r="O88" s="303"/>
      <c r="P88" s="303"/>
      <c r="Q88" s="303"/>
      <c r="R88" s="303"/>
      <c r="S88" s="303"/>
      <c r="T88" s="303"/>
      <c r="U88" s="303"/>
      <c r="V88" s="303"/>
      <c r="W88" s="303"/>
      <c r="X88" s="303"/>
      <c r="Y88" s="303"/>
      <c r="Z88" s="303"/>
      <c r="AA88" s="303"/>
      <c r="AB88" s="303"/>
      <c r="AD88" s="174"/>
    </row>
    <row r="89" spans="9:30" ht="30" hidden="1" customHeight="1" x14ac:dyDescent="0.25">
      <c r="J89" s="106"/>
      <c r="K89" s="106"/>
      <c r="L89" s="106"/>
      <c r="M89" s="106"/>
      <c r="N89" s="106"/>
      <c r="O89" s="106"/>
      <c r="P89" s="106"/>
      <c r="Q89" s="106"/>
      <c r="AC89" s="112"/>
      <c r="AD89" s="174"/>
    </row>
    <row r="90" spans="9:30" ht="30" hidden="1" customHeight="1" x14ac:dyDescent="0.25">
      <c r="J90" s="106"/>
      <c r="K90" s="106"/>
      <c r="L90" s="106"/>
      <c r="M90" s="106"/>
      <c r="N90" s="106"/>
      <c r="O90" s="106"/>
      <c r="P90" s="106"/>
      <c r="Q90" s="106"/>
      <c r="AC90" s="112"/>
      <c r="AD90" s="174"/>
    </row>
    <row r="91" spans="9:30" ht="18" hidden="1" customHeight="1" x14ac:dyDescent="0.25">
      <c r="J91" s="106"/>
      <c r="K91" s="106"/>
      <c r="L91" s="106"/>
      <c r="M91" s="106"/>
      <c r="N91" s="106"/>
      <c r="O91" s="106"/>
      <c r="P91" s="106"/>
      <c r="Q91" s="106"/>
      <c r="AC91" s="112"/>
    </row>
    <row r="92" spans="9:30" ht="30" hidden="1" customHeight="1" x14ac:dyDescent="0.25">
      <c r="J92" s="106"/>
      <c r="K92" s="106"/>
      <c r="L92" s="106"/>
      <c r="M92" s="106"/>
      <c r="N92" s="106"/>
      <c r="O92" s="106"/>
      <c r="P92" s="106"/>
      <c r="Q92" s="106"/>
      <c r="AC92" s="112"/>
    </row>
    <row r="93" spans="9:30" ht="18" hidden="1" customHeight="1" x14ac:dyDescent="0.25">
      <c r="J93" s="106"/>
      <c r="K93" s="106"/>
      <c r="L93" s="106"/>
      <c r="M93" s="106"/>
      <c r="N93" s="106"/>
      <c r="O93" s="106"/>
      <c r="P93" s="106"/>
      <c r="Q93" s="106"/>
      <c r="AC93" s="112"/>
      <c r="AD93" s="174"/>
    </row>
    <row r="94" spans="9:30" ht="30" hidden="1" customHeight="1" x14ac:dyDescent="0.25">
      <c r="J94" s="106"/>
      <c r="K94" s="106"/>
      <c r="L94" s="106"/>
      <c r="M94" s="106"/>
      <c r="N94" s="106"/>
      <c r="O94" s="106"/>
      <c r="P94" s="106"/>
      <c r="Q94" s="106"/>
      <c r="AC94" s="112"/>
      <c r="AD94" s="174"/>
    </row>
    <row r="95" spans="9:30" ht="18" hidden="1" customHeight="1" x14ac:dyDescent="0.2">
      <c r="J95" s="106"/>
      <c r="K95" s="106"/>
      <c r="L95" s="106"/>
      <c r="M95" s="106"/>
      <c r="N95" s="106"/>
      <c r="O95" s="106"/>
      <c r="P95" s="106"/>
      <c r="Q95" s="106"/>
      <c r="AD95" s="174"/>
    </row>
    <row r="96" spans="9:30" ht="18" hidden="1" customHeight="1" x14ac:dyDescent="0.2">
      <c r="I96" s="303"/>
      <c r="J96" s="303"/>
      <c r="K96" s="303"/>
      <c r="L96" s="303"/>
      <c r="M96" s="303"/>
      <c r="N96" s="303"/>
      <c r="O96" s="303"/>
      <c r="P96" s="303"/>
      <c r="Q96" s="303"/>
      <c r="R96" s="303"/>
      <c r="S96" s="303"/>
      <c r="T96" s="303"/>
      <c r="U96" s="303"/>
      <c r="V96" s="303"/>
      <c r="W96" s="303"/>
      <c r="X96" s="303"/>
      <c r="Y96" s="303"/>
      <c r="Z96" s="303"/>
      <c r="AA96" s="303"/>
      <c r="AB96" s="303"/>
    </row>
    <row r="97" spans="9:29" ht="30" hidden="1" customHeight="1" x14ac:dyDescent="0.25">
      <c r="J97" s="106"/>
      <c r="K97" s="106"/>
      <c r="L97" s="106"/>
      <c r="M97" s="106"/>
      <c r="N97" s="106"/>
      <c r="O97" s="106"/>
      <c r="P97" s="106"/>
      <c r="Q97" s="106"/>
      <c r="AC97" s="112"/>
    </row>
    <row r="98" spans="9:29" ht="18" hidden="1" customHeight="1" x14ac:dyDescent="0.25">
      <c r="J98" s="106"/>
      <c r="K98" s="106"/>
      <c r="L98" s="106"/>
      <c r="M98" s="106"/>
      <c r="N98" s="106"/>
      <c r="O98" s="106"/>
      <c r="P98" s="106"/>
      <c r="Q98" s="106"/>
      <c r="AC98" s="112"/>
    </row>
    <row r="99" spans="9:29" ht="30" hidden="1" customHeight="1" x14ac:dyDescent="0.25">
      <c r="J99" s="106"/>
      <c r="K99" s="106"/>
      <c r="L99" s="106"/>
      <c r="M99" s="106"/>
      <c r="N99" s="106"/>
      <c r="O99" s="106"/>
      <c r="P99" s="106"/>
      <c r="Q99" s="106"/>
      <c r="AC99" s="112"/>
    </row>
    <row r="100" spans="9:29" ht="30" hidden="1" customHeight="1" x14ac:dyDescent="0.25">
      <c r="J100" s="106"/>
      <c r="K100" s="106"/>
      <c r="L100" s="106"/>
      <c r="M100" s="106"/>
      <c r="N100" s="106"/>
      <c r="O100" s="106"/>
      <c r="P100" s="106"/>
      <c r="Q100" s="106"/>
      <c r="AC100" s="112"/>
    </row>
    <row r="101" spans="9:29" ht="18" hidden="1" customHeight="1" x14ac:dyDescent="0.25">
      <c r="J101" s="106"/>
      <c r="K101" s="106"/>
      <c r="L101" s="106"/>
      <c r="M101" s="106"/>
      <c r="N101" s="106"/>
      <c r="O101" s="106"/>
      <c r="P101" s="106"/>
      <c r="Q101" s="106"/>
      <c r="AC101" s="112"/>
    </row>
    <row r="102" spans="9:29" ht="30" hidden="1" customHeight="1" x14ac:dyDescent="0.25">
      <c r="J102" s="106"/>
      <c r="K102" s="106"/>
      <c r="L102" s="106"/>
      <c r="M102" s="106"/>
      <c r="N102" s="106"/>
      <c r="O102" s="106"/>
      <c r="P102" s="106"/>
      <c r="Q102" s="106"/>
      <c r="AC102" s="112"/>
    </row>
    <row r="103" spans="9:29" ht="30" hidden="1" customHeight="1" x14ac:dyDescent="0.25">
      <c r="J103" s="106"/>
      <c r="K103" s="106"/>
      <c r="L103" s="106"/>
      <c r="M103" s="106"/>
      <c r="N103" s="106"/>
      <c r="O103" s="106"/>
      <c r="P103" s="106"/>
      <c r="Q103" s="106"/>
      <c r="AC103" s="112"/>
    </row>
    <row r="104" spans="9:29" hidden="1" x14ac:dyDescent="0.2">
      <c r="J104" s="106"/>
      <c r="K104" s="106"/>
      <c r="L104" s="106"/>
      <c r="M104" s="106"/>
      <c r="N104" s="106"/>
      <c r="O104" s="106"/>
      <c r="P104" s="106"/>
      <c r="Q104" s="106"/>
    </row>
    <row r="105" spans="9:29" hidden="1" x14ac:dyDescent="0.2">
      <c r="I105" s="303"/>
      <c r="J105" s="303"/>
      <c r="K105" s="303"/>
      <c r="L105" s="303"/>
      <c r="M105" s="303"/>
      <c r="N105" s="303"/>
      <c r="O105" s="303"/>
      <c r="P105" s="303"/>
      <c r="Q105" s="303"/>
      <c r="R105" s="303"/>
      <c r="S105" s="303"/>
      <c r="T105" s="303"/>
      <c r="U105" s="303"/>
      <c r="V105" s="303"/>
      <c r="W105" s="303"/>
      <c r="X105" s="303"/>
      <c r="Y105" s="303"/>
      <c r="Z105" s="303"/>
      <c r="AA105" s="303"/>
      <c r="AB105" s="303"/>
    </row>
    <row r="106" spans="9:29" hidden="1" x14ac:dyDescent="0.2">
      <c r="J106" s="106"/>
      <c r="K106" s="106"/>
      <c r="L106" s="106"/>
      <c r="M106" s="106"/>
      <c r="N106" s="106"/>
      <c r="O106" s="106"/>
      <c r="P106" s="106"/>
      <c r="Q106" s="106"/>
    </row>
    <row r="107" spans="9:29" hidden="1" x14ac:dyDescent="0.2">
      <c r="J107" s="106"/>
      <c r="K107" s="106"/>
      <c r="L107" s="106"/>
      <c r="M107" s="106"/>
      <c r="N107" s="106"/>
      <c r="O107" s="106"/>
      <c r="P107" s="106"/>
      <c r="Q107" s="106"/>
    </row>
    <row r="108" spans="9:29" hidden="1" x14ac:dyDescent="0.2">
      <c r="J108" s="106"/>
      <c r="K108" s="106"/>
      <c r="L108" s="106"/>
      <c r="M108" s="106"/>
      <c r="N108" s="106"/>
      <c r="O108" s="106"/>
      <c r="P108" s="106"/>
      <c r="Q108" s="106"/>
    </row>
    <row r="109" spans="9:29" hidden="1" x14ac:dyDescent="0.2">
      <c r="J109" s="106"/>
      <c r="K109" s="106"/>
      <c r="L109" s="106"/>
      <c r="M109" s="106"/>
      <c r="N109" s="106"/>
      <c r="O109" s="106"/>
      <c r="P109" s="106"/>
      <c r="Q109" s="106"/>
    </row>
    <row r="110" spans="9:29" hidden="1" x14ac:dyDescent="0.2">
      <c r="J110" s="106"/>
      <c r="K110" s="106"/>
      <c r="L110" s="106"/>
      <c r="M110" s="106"/>
      <c r="N110" s="106"/>
      <c r="O110" s="106"/>
      <c r="P110" s="106"/>
      <c r="Q110" s="106"/>
    </row>
    <row r="111" spans="9:29" hidden="1" x14ac:dyDescent="0.2">
      <c r="J111" s="106"/>
      <c r="K111" s="106"/>
      <c r="L111" s="106"/>
      <c r="M111" s="106"/>
      <c r="N111" s="106"/>
      <c r="O111" s="106"/>
      <c r="P111" s="106"/>
      <c r="Q111" s="106"/>
    </row>
  </sheetData>
  <sheetProtection password="D65F" sheet="1" objects="1" scenarios="1"/>
  <mergeCells count="94">
    <mergeCell ref="K56:L56"/>
    <mergeCell ref="K57:L57"/>
    <mergeCell ref="K58:L58"/>
    <mergeCell ref="K40:L40"/>
    <mergeCell ref="K41:L41"/>
    <mergeCell ref="K51:M51"/>
    <mergeCell ref="K54:L54"/>
    <mergeCell ref="K55:L55"/>
    <mergeCell ref="L15:L16"/>
    <mergeCell ref="M15:M16"/>
    <mergeCell ref="N15:N16"/>
    <mergeCell ref="O15:O16"/>
    <mergeCell ref="O27:P27"/>
    <mergeCell ref="X2:X4"/>
    <mergeCell ref="T61:X61"/>
    <mergeCell ref="T16:T20"/>
    <mergeCell ref="T60:X60"/>
    <mergeCell ref="T35:X35"/>
    <mergeCell ref="T38:X38"/>
    <mergeCell ref="T39:X39"/>
    <mergeCell ref="T40:X40"/>
    <mergeCell ref="T41:X41"/>
    <mergeCell ref="AA5:AB5"/>
    <mergeCell ref="T56:X56"/>
    <mergeCell ref="T57:X57"/>
    <mergeCell ref="T58:X58"/>
    <mergeCell ref="T59:X59"/>
    <mergeCell ref="T49:X49"/>
    <mergeCell ref="T50:X50"/>
    <mergeCell ref="T51:X51"/>
    <mergeCell ref="T52:X52"/>
    <mergeCell ref="T55:X55"/>
    <mergeCell ref="T42:X42"/>
    <mergeCell ref="T43:X43"/>
    <mergeCell ref="T44:X44"/>
    <mergeCell ref="T34:X34"/>
    <mergeCell ref="T47:X47"/>
    <mergeCell ref="T48:X48"/>
    <mergeCell ref="V67:Y67"/>
    <mergeCell ref="AM25:AM26"/>
    <mergeCell ref="AN25:AN26"/>
    <mergeCell ref="AP25:AP26"/>
    <mergeCell ref="AP27:AP28"/>
    <mergeCell ref="AD43:AE43"/>
    <mergeCell ref="AG43:AH44"/>
    <mergeCell ref="AE25:AE26"/>
    <mergeCell ref="AF25:AF26"/>
    <mergeCell ref="AG25:AG26"/>
    <mergeCell ref="AH25:AH26"/>
    <mergeCell ref="T29:X29"/>
    <mergeCell ref="T65:U65"/>
    <mergeCell ref="V65:Y65"/>
    <mergeCell ref="T66:U66"/>
    <mergeCell ref="V66:Y66"/>
    <mergeCell ref="AI15:AI16"/>
    <mergeCell ref="AJ15:AJ16"/>
    <mergeCell ref="AK15:AK16"/>
    <mergeCell ref="AL15:AL16"/>
    <mergeCell ref="AK25:AK26"/>
    <mergeCell ref="AL25:AL26"/>
    <mergeCell ref="AJ23:AL23"/>
    <mergeCell ref="AK21:AL21"/>
    <mergeCell ref="AK22:AL22"/>
    <mergeCell ref="AD15:AD16"/>
    <mergeCell ref="AE15:AE16"/>
    <mergeCell ref="AF15:AF16"/>
    <mergeCell ref="AG15:AG16"/>
    <mergeCell ref="AH15:AH16"/>
    <mergeCell ref="AD25:AD26"/>
    <mergeCell ref="K39:L39"/>
    <mergeCell ref="K29:L29"/>
    <mergeCell ref="K38:L38"/>
    <mergeCell ref="T30:X30"/>
    <mergeCell ref="T31:X31"/>
    <mergeCell ref="T32:X32"/>
    <mergeCell ref="T33:X33"/>
    <mergeCell ref="K26:L26"/>
    <mergeCell ref="K27:L27"/>
    <mergeCell ref="K28:L28"/>
    <mergeCell ref="O28:P28"/>
    <mergeCell ref="C51:D51"/>
    <mergeCell ref="B63:I64"/>
    <mergeCell ref="C14:D14"/>
    <mergeCell ref="C24:D24"/>
    <mergeCell ref="E24:G24"/>
    <mergeCell ref="C34:D34"/>
    <mergeCell ref="E34:G34"/>
    <mergeCell ref="D15:D16"/>
    <mergeCell ref="C15:C16"/>
    <mergeCell ref="C25:C26"/>
    <mergeCell ref="D25:D26"/>
    <mergeCell ref="C35:C36"/>
    <mergeCell ref="D35:D36"/>
    <mergeCell ref="E14:G14"/>
  </mergeCells>
  <conditionalFormatting sqref="E53">
    <cfRule type="expression" dxfId="253" priority="77">
      <formula>IF(ISERROR(E53)=TRUE,TRUE,FALSE)</formula>
    </cfRule>
  </conditionalFormatting>
  <conditionalFormatting sqref="E52">
    <cfRule type="expression" dxfId="252" priority="76">
      <formula>IF(ISERROR(E52),TRUE,FALSE)</formula>
    </cfRule>
  </conditionalFormatting>
  <conditionalFormatting sqref="F52">
    <cfRule type="expression" dxfId="251" priority="75">
      <formula>IF(ISERROR(F52),TRUE,FALSE)</formula>
    </cfRule>
  </conditionalFormatting>
  <conditionalFormatting sqref="G52">
    <cfRule type="expression" dxfId="250" priority="74">
      <formula>IF(ISERROR(G52),TRUE,FALSE)</formula>
    </cfRule>
  </conditionalFormatting>
  <conditionalFormatting sqref="E53">
    <cfRule type="expression" dxfId="249" priority="479">
      <formula>IF(E52&lt;=Gut,TRUE,FALSE)</formula>
    </cfRule>
    <cfRule type="expression" dxfId="248" priority="480">
      <formula>IF(E52&lt;=Potential,TRUE,FALSE)</formula>
    </cfRule>
    <cfRule type="expression" dxfId="247" priority="481">
      <formula>IF(E52&gt;Potential,TRUE,FALSE)</formula>
    </cfRule>
  </conditionalFormatting>
  <conditionalFormatting sqref="F53">
    <cfRule type="expression" dxfId="246" priority="54">
      <formula>IF(ISERROR(F53)=TRUE,TRUE,FALSE)</formula>
    </cfRule>
  </conditionalFormatting>
  <conditionalFormatting sqref="F53">
    <cfRule type="expression" dxfId="245" priority="55">
      <formula>IF(F52&lt;=Gut,TRUE,FALSE)</formula>
    </cfRule>
    <cfRule type="expression" dxfId="244" priority="56">
      <formula>IF(F52&lt;=Potential,TRUE,FALSE)</formula>
    </cfRule>
    <cfRule type="expression" dxfId="243" priority="57">
      <formula>IF(F52&gt;Potential,TRUE,FALSE)</formula>
    </cfRule>
  </conditionalFormatting>
  <conditionalFormatting sqref="G53">
    <cfRule type="expression" dxfId="242" priority="50">
      <formula>IF(ISERROR(G53)=TRUE,TRUE,FALSE)</formula>
    </cfRule>
  </conditionalFormatting>
  <conditionalFormatting sqref="G53">
    <cfRule type="expression" dxfId="241" priority="51">
      <formula>IF(G52&lt;=Gut,TRUE,FALSE)</formula>
    </cfRule>
    <cfRule type="expression" dxfId="240" priority="52">
      <formula>IF(G52&lt;=Potential,TRUE,FALSE)</formula>
    </cfRule>
    <cfRule type="expression" dxfId="239" priority="53">
      <formula>IF(G52&gt;Potential,TRUE,FALSE)</formula>
    </cfRule>
  </conditionalFormatting>
  <conditionalFormatting sqref="M40:O40">
    <cfRule type="expression" dxfId="238" priority="49">
      <formula>IF(ISERROR(M40)=TRUE,TRUE,FALSE)</formula>
    </cfRule>
  </conditionalFormatting>
  <conditionalFormatting sqref="M41:N41">
    <cfRule type="expression" dxfId="237" priority="44">
      <formula>IF(ISERROR(M40)=TRUE,TRUE,FALSE)</formula>
    </cfRule>
  </conditionalFormatting>
  <conditionalFormatting sqref="M41:N41">
    <cfRule type="expression" dxfId="236" priority="45">
      <formula>IF(M40&lt;=Gut,TRUE,FALSE)</formula>
    </cfRule>
    <cfRule type="expression" dxfId="235" priority="46">
      <formula>IF(M40&lt;=Potential,TRUE,FALSE)</formula>
    </cfRule>
    <cfRule type="expression" dxfId="234" priority="47">
      <formula>IF(M40&gt;Potential,TRUE,FALSE)</formula>
    </cfRule>
  </conditionalFormatting>
  <conditionalFormatting sqref="K42">
    <cfRule type="expression" dxfId="233" priority="40">
      <formula>IF($BH$84/$BH$85&lt;0.5,TRUE,FALSE)</formula>
    </cfRule>
    <cfRule type="expression" dxfId="232" priority="41">
      <formula>IF($BE$83&gt;0,TRUE,FALSE)</formula>
    </cfRule>
  </conditionalFormatting>
  <conditionalFormatting sqref="K42">
    <cfRule type="expression" dxfId="231" priority="42">
      <formula>IF($BE$83&gt;Grün,TRUE,FALSE)</formula>
    </cfRule>
    <cfRule type="expression" dxfId="230" priority="43">
      <formula>IF($BE$83&gt;Rot,TRUE,FALSE)</formula>
    </cfRule>
  </conditionalFormatting>
  <conditionalFormatting sqref="M46">
    <cfRule type="expression" dxfId="229" priority="38">
      <formula>ISERROR(M46)</formula>
    </cfRule>
    <cfRule type="cellIs" dxfId="228" priority="39" operator="greaterThan">
      <formula>0</formula>
    </cfRule>
  </conditionalFormatting>
  <conditionalFormatting sqref="M47">
    <cfRule type="expression" dxfId="227" priority="36">
      <formula>ISERROR(M47)</formula>
    </cfRule>
    <cfRule type="cellIs" dxfId="226" priority="37" operator="greaterThan">
      <formula>0</formula>
    </cfRule>
  </conditionalFormatting>
  <conditionalFormatting sqref="O46">
    <cfRule type="expression" dxfId="225" priority="34">
      <formula>ISERROR(O46)</formula>
    </cfRule>
    <cfRule type="cellIs" dxfId="224" priority="35" operator="greaterThan">
      <formula>0</formula>
    </cfRule>
  </conditionalFormatting>
  <conditionalFormatting sqref="O47">
    <cfRule type="expression" dxfId="223" priority="32">
      <formula>ISERROR(O47)</formula>
    </cfRule>
    <cfRule type="cellIs" dxfId="222" priority="33" operator="greaterThan">
      <formula>0</formula>
    </cfRule>
  </conditionalFormatting>
  <conditionalFormatting sqref="O41">
    <cfRule type="expression" dxfId="221" priority="28">
      <formula>IF(ISERROR(O40)=TRUE,TRUE,FALSE)</formula>
    </cfRule>
  </conditionalFormatting>
  <conditionalFormatting sqref="O41">
    <cfRule type="expression" dxfId="220" priority="29">
      <formula>IF(O40&lt;=Gut,TRUE,FALSE)</formula>
    </cfRule>
    <cfRule type="expression" dxfId="219" priority="30">
      <formula>IF(O40&lt;=Potential,TRUE,FALSE)</formula>
    </cfRule>
    <cfRule type="expression" dxfId="218" priority="31">
      <formula>IF(O40&gt;Potential,TRUE,FALSE)</formula>
    </cfRule>
  </conditionalFormatting>
  <conditionalFormatting sqref="D56">
    <cfRule type="expression" dxfId="217" priority="24">
      <formula>ISERROR(D56)</formula>
    </cfRule>
    <cfRule type="cellIs" dxfId="216" priority="25" operator="greaterThan">
      <formula>0</formula>
    </cfRule>
  </conditionalFormatting>
  <conditionalFormatting sqref="D58">
    <cfRule type="expression" dxfId="215" priority="22">
      <formula>ISERROR(D58)</formula>
    </cfRule>
    <cfRule type="cellIs" dxfId="214" priority="23" operator="greaterThan">
      <formula>0</formula>
    </cfRule>
  </conditionalFormatting>
  <conditionalFormatting sqref="F56">
    <cfRule type="expression" dxfId="213" priority="20">
      <formula>ISERROR(F56)</formula>
    </cfRule>
    <cfRule type="cellIs" dxfId="212" priority="21" operator="greaterThan">
      <formula>0</formula>
    </cfRule>
  </conditionalFormatting>
  <conditionalFormatting sqref="F58">
    <cfRule type="expression" dxfId="211" priority="18">
      <formula>ISERROR(F58)</formula>
    </cfRule>
    <cfRule type="cellIs" dxfId="210" priority="19" operator="greaterThan">
      <formula>0</formula>
    </cfRule>
  </conditionalFormatting>
  <conditionalFormatting sqref="M54">
    <cfRule type="expression" dxfId="209" priority="5">
      <formula>IF($G$51&gt;0,TRUE,FALSE)</formula>
    </cfRule>
    <cfRule type="cellIs" dxfId="208" priority="13" operator="greaterThan">
      <formula>0</formula>
    </cfRule>
    <cfRule type="expression" dxfId="207" priority="17">
      <formula>ISERROR(M54)</formula>
    </cfRule>
  </conditionalFormatting>
  <conditionalFormatting sqref="M56">
    <cfRule type="expression" dxfId="206" priority="3">
      <formula>IF(O39&gt;0,TRUE,FALSE)</formula>
    </cfRule>
    <cfRule type="cellIs" dxfId="205" priority="12" operator="greaterThan">
      <formula>0</formula>
    </cfRule>
    <cfRule type="expression" dxfId="204" priority="16">
      <formula>ISERROR(M56)</formula>
    </cfRule>
  </conditionalFormatting>
  <conditionalFormatting sqref="M57">
    <cfRule type="expression" dxfId="203" priority="15">
      <formula>ISERROR(M57)</formula>
    </cfRule>
  </conditionalFormatting>
  <conditionalFormatting sqref="M55">
    <cfRule type="expression" dxfId="202" priority="4">
      <formula>IF(E51+F51&gt;0,TRUE,FALSE)</formula>
    </cfRule>
    <cfRule type="cellIs" dxfId="201" priority="8" operator="greaterThan">
      <formula>0</formula>
    </cfRule>
    <cfRule type="expression" dxfId="200" priority="9">
      <formula>ISERROR(M55)</formula>
    </cfRule>
  </conditionalFormatting>
  <conditionalFormatting sqref="T16">
    <cfRule type="expression" dxfId="199" priority="440">
      <formula>IF($AK$68&gt;Grün,TRUE,FALSE)</formula>
    </cfRule>
    <cfRule type="expression" dxfId="198" priority="441">
      <formula>IF($AK$68&gt;Rot,TRUE,FALSE)</formula>
    </cfRule>
    <cfRule type="expression" dxfId="197" priority="442">
      <formula>IF($AK$68&gt;0,TRUE,FALSE)</formula>
    </cfRule>
  </conditionalFormatting>
  <conditionalFormatting sqref="M58">
    <cfRule type="expression" dxfId="196" priority="2">
      <formula>ISERROR(M58)</formula>
    </cfRule>
  </conditionalFormatting>
  <dataValidations count="1">
    <dataValidation type="list" allowBlank="1" showInputMessage="1" showErrorMessage="1" sqref="Y38:Y44 Y47:Y52 Y29:Y35 Y55:Y61">
      <formula1>Liste</formula1>
    </dataValidation>
  </dataValidations>
  <hyperlinks>
    <hyperlink ref="V9" r:id="rId1"/>
    <hyperlink ref="V10" r:id="rId2"/>
    <hyperlink ref="V11" r:id="rId3"/>
  </hyperlinks>
  <pageMargins left="0.70866141732283472" right="0.70866141732283472" top="0.74803149606299213" bottom="0.74803149606299213" header="0.31496062992125984" footer="0.31496062992125984"/>
  <pageSetup paperSize="9" scale="64" fitToHeight="2" orientation="portrait" r:id="rId4"/>
  <rowBreaks count="1" manualBreakCount="1">
    <brk id="36" min="18" max="25" man="1"/>
  </rowBreaks>
  <drawing r:id="rId5"/>
  <legacyDrawing r:id="rId6"/>
  <oleObjects>
    <mc:AlternateContent xmlns:mc="http://schemas.openxmlformats.org/markup-compatibility/2006">
      <mc:Choice Requires="x14">
        <oleObject progId="Acrobat Document" dvAspect="DVASPECT_ICON" shapeId="5121" r:id="rId7">
          <objectPr defaultSize="0" autoPict="0" r:id="rId8">
            <anchor moveWithCells="1" sizeWithCells="1">
              <from>
                <xdr:col>24</xdr:col>
                <xdr:colOff>419100</xdr:colOff>
                <xdr:row>0</xdr:row>
                <xdr:rowOff>171450</xdr:rowOff>
              </from>
              <to>
                <xdr:col>25</xdr:col>
                <xdr:colOff>114300</xdr:colOff>
                <xdr:row>4</xdr:row>
                <xdr:rowOff>57150</xdr:rowOff>
              </to>
            </anchor>
          </objectPr>
        </oleObject>
      </mc:Choice>
      <mc:Fallback>
        <oleObject progId="Acrobat Document" dvAspect="DVASPECT_ICON" shapeId="5121" r:id="rId7"/>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dimension ref="A1:AS376"/>
  <sheetViews>
    <sheetView showGridLines="0" showRowColHeaders="0" zoomScaleNormal="100" workbookViewId="0"/>
  </sheetViews>
  <sheetFormatPr baseColWidth="10" defaultColWidth="0" defaultRowHeight="14.25" zeroHeight="1" x14ac:dyDescent="0.2"/>
  <cols>
    <col min="1" max="1" width="11.42578125" style="66" customWidth="1"/>
    <col min="2" max="2" width="3.7109375" style="203" customWidth="1"/>
    <col min="3" max="3" width="35.7109375" style="203" customWidth="1"/>
    <col min="4" max="4" width="20.7109375" style="203" customWidth="1"/>
    <col min="5" max="7" width="17.7109375" style="203" customWidth="1"/>
    <col min="8" max="8" width="18.42578125" style="203" customWidth="1"/>
    <col min="9" max="11" width="3.7109375" style="203" customWidth="1"/>
    <col min="12" max="12" width="35.7109375" style="203" customWidth="1"/>
    <col min="13" max="13" width="20.7109375" style="203" customWidth="1"/>
    <col min="14" max="14" width="17.7109375" style="203" customWidth="1"/>
    <col min="15" max="15" width="25.7109375" style="203" customWidth="1"/>
    <col min="16" max="18" width="3.7109375" style="203" customWidth="1"/>
    <col min="19" max="19" width="30.7109375" style="203" customWidth="1"/>
    <col min="20" max="20" width="15.7109375" style="203" customWidth="1"/>
    <col min="21" max="23" width="20.7109375" style="203" customWidth="1"/>
    <col min="24" max="24" width="20.7109375" style="66" customWidth="1"/>
    <col min="25" max="27" width="2.7109375" style="66" customWidth="1"/>
    <col min="28" max="28" width="11.42578125" style="66" customWidth="1"/>
    <col min="29" max="29" width="46.28515625" style="66" customWidth="1"/>
    <col min="30" max="30" width="16.28515625" style="66" customWidth="1"/>
    <col min="31" max="31" width="14" style="66" customWidth="1"/>
    <col min="32" max="35" width="11.42578125" style="66" customWidth="1"/>
    <col min="36" max="36" width="24.42578125" style="66" customWidth="1"/>
    <col min="37" max="40" width="11.42578125" style="66" customWidth="1"/>
    <col min="41" max="45" width="0" style="66" hidden="1" customWidth="1"/>
    <col min="46" max="16384" width="11.42578125" style="66" hidden="1"/>
  </cols>
  <sheetData>
    <row r="1" spans="2:26" x14ac:dyDescent="0.2"/>
    <row r="2" spans="2:26" ht="26.25" x14ac:dyDescent="0.4">
      <c r="C2" s="458" t="s">
        <v>932</v>
      </c>
      <c r="D2" s="374"/>
      <c r="E2" s="374"/>
      <c r="F2" s="374"/>
      <c r="G2" s="1189" t="s">
        <v>539</v>
      </c>
      <c r="H2" s="1190"/>
      <c r="I2" s="899" t="s">
        <v>3</v>
      </c>
      <c r="J2" s="1191"/>
      <c r="K2" s="1190"/>
      <c r="L2" s="1364" t="s">
        <v>1003</v>
      </c>
      <c r="M2" s="949"/>
      <c r="N2" s="66"/>
      <c r="O2" s="400"/>
      <c r="S2" s="400"/>
      <c r="T2" s="400"/>
      <c r="U2" s="400"/>
      <c r="V2" s="400"/>
      <c r="W2" s="1697" t="s">
        <v>903</v>
      </c>
      <c r="Y2" s="400"/>
      <c r="Z2" s="400"/>
    </row>
    <row r="3" spans="2:26" x14ac:dyDescent="0.2">
      <c r="C3" s="374"/>
      <c r="D3" s="374"/>
      <c r="E3" s="374"/>
      <c r="F3" s="374"/>
      <c r="G3" s="374"/>
      <c r="H3" s="374"/>
      <c r="I3" s="374"/>
      <c r="J3" s="400"/>
      <c r="K3" s="400"/>
      <c r="L3" s="400"/>
      <c r="M3" s="400"/>
      <c r="N3" s="400"/>
      <c r="O3" s="400"/>
      <c r="S3" s="400"/>
      <c r="T3" s="400"/>
      <c r="U3" s="400"/>
      <c r="V3" s="400"/>
      <c r="W3" s="1697"/>
      <c r="Y3" s="400"/>
      <c r="Z3" s="400"/>
    </row>
    <row r="4" spans="2:26" ht="18" x14ac:dyDescent="0.25">
      <c r="C4" s="374"/>
      <c r="D4" s="374"/>
      <c r="E4" s="457" t="s">
        <v>764</v>
      </c>
      <c r="F4" s="374"/>
      <c r="G4" s="374"/>
      <c r="H4" s="66"/>
      <c r="I4" s="898" t="s">
        <v>767</v>
      </c>
      <c r="J4" s="400"/>
      <c r="K4" s="400"/>
      <c r="L4" s="400"/>
      <c r="M4" s="457" t="s">
        <v>543</v>
      </c>
      <c r="N4" s="400"/>
      <c r="O4" s="400"/>
      <c r="S4" s="712" t="s">
        <v>576</v>
      </c>
      <c r="T4" s="106"/>
      <c r="U4" s="1154"/>
      <c r="V4" s="106"/>
      <c r="W4" s="1697"/>
      <c r="Y4" s="400"/>
      <c r="Z4" s="400"/>
    </row>
    <row r="5" spans="2:26" x14ac:dyDescent="0.2">
      <c r="C5" s="374"/>
      <c r="D5" s="374"/>
      <c r="E5" s="374"/>
      <c r="F5" s="374"/>
      <c r="G5" s="374"/>
      <c r="H5" s="374"/>
      <c r="I5" s="400"/>
      <c r="J5" s="400"/>
      <c r="K5" s="400"/>
      <c r="L5" s="400"/>
      <c r="M5" s="400"/>
      <c r="N5" s="400"/>
      <c r="O5" s="400"/>
      <c r="S5" s="400"/>
      <c r="T5" s="400"/>
      <c r="U5" s="400"/>
      <c r="V5" s="106"/>
      <c r="W5" s="106"/>
      <c r="X5" s="106"/>
      <c r="Y5" s="400"/>
      <c r="Z5" s="400"/>
    </row>
    <row r="6" spans="2:26" x14ac:dyDescent="0.2">
      <c r="C6" s="374" t="s">
        <v>513</v>
      </c>
      <c r="D6" s="374"/>
      <c r="E6" s="374"/>
      <c r="F6" s="374"/>
      <c r="G6" s="374"/>
      <c r="H6" s="374"/>
      <c r="I6" s="374"/>
      <c r="J6" s="400"/>
      <c r="K6" s="400"/>
      <c r="L6" s="400" t="s">
        <v>606</v>
      </c>
      <c r="M6" s="400"/>
      <c r="N6" s="400"/>
      <c r="O6" s="400"/>
      <c r="S6" s="400" t="s">
        <v>585</v>
      </c>
      <c r="T6" s="400"/>
      <c r="U6" s="106"/>
      <c r="V6" s="106"/>
      <c r="W6" s="106"/>
      <c r="X6" s="400"/>
      <c r="Y6" s="400"/>
      <c r="Z6" s="400"/>
    </row>
    <row r="7" spans="2:26" x14ac:dyDescent="0.2">
      <c r="C7" s="374" t="s">
        <v>933</v>
      </c>
      <c r="D7" s="374"/>
      <c r="E7" s="374"/>
      <c r="F7" s="374"/>
      <c r="G7" s="374"/>
      <c r="H7" s="374"/>
      <c r="I7" s="374"/>
      <c r="J7" s="400"/>
      <c r="K7" s="400"/>
      <c r="L7" s="374" t="s">
        <v>936</v>
      </c>
      <c r="M7" s="400"/>
      <c r="N7" s="400"/>
      <c r="O7" s="400"/>
      <c r="S7" s="400" t="s">
        <v>589</v>
      </c>
      <c r="T7" s="400"/>
      <c r="U7" s="106"/>
      <c r="V7" s="106"/>
      <c r="W7" s="106"/>
      <c r="X7" s="400"/>
      <c r="Y7" s="400"/>
      <c r="Z7" s="400"/>
    </row>
    <row r="8" spans="2:26" x14ac:dyDescent="0.2">
      <c r="C8" s="374" t="s">
        <v>934</v>
      </c>
      <c r="D8" s="374"/>
      <c r="E8" s="374"/>
      <c r="F8" s="374"/>
      <c r="G8" s="374"/>
      <c r="H8" s="374"/>
      <c r="I8" s="374"/>
      <c r="J8" s="400"/>
      <c r="K8" s="400"/>
      <c r="L8" s="400" t="s">
        <v>768</v>
      </c>
      <c r="M8" s="400"/>
      <c r="N8" s="400"/>
      <c r="O8" s="400"/>
      <c r="S8" s="400" t="s">
        <v>590</v>
      </c>
      <c r="T8" s="400"/>
      <c r="U8" s="106"/>
      <c r="V8" s="106"/>
      <c r="W8" s="106"/>
      <c r="X8" s="400"/>
      <c r="Y8" s="400"/>
      <c r="Z8" s="400"/>
    </row>
    <row r="9" spans="2:26" ht="15" x14ac:dyDescent="0.25">
      <c r="C9" s="374" t="s">
        <v>935</v>
      </c>
      <c r="D9" s="374"/>
      <c r="E9" s="374"/>
      <c r="F9" s="374"/>
      <c r="G9" s="374"/>
      <c r="H9" s="374"/>
      <c r="I9" s="374"/>
      <c r="J9" s="400"/>
      <c r="K9" s="400"/>
      <c r="L9" s="66"/>
      <c r="M9" s="66"/>
      <c r="N9" s="66"/>
      <c r="O9" s="400"/>
      <c r="S9" s="1197" t="s">
        <v>309</v>
      </c>
      <c r="T9" s="1197"/>
      <c r="U9" s="1193" t="s">
        <v>296</v>
      </c>
      <c r="V9" s="1194"/>
      <c r="W9" s="1195"/>
      <c r="X9" s="203"/>
      <c r="Y9" s="203"/>
    </row>
    <row r="10" spans="2:26" ht="15" x14ac:dyDescent="0.25">
      <c r="C10" s="374" t="s">
        <v>517</v>
      </c>
      <c r="D10" s="374"/>
      <c r="E10" s="374"/>
      <c r="F10" s="374"/>
      <c r="G10" s="374"/>
      <c r="H10" s="374"/>
      <c r="I10" s="374"/>
      <c r="J10" s="400"/>
      <c r="K10" s="400"/>
      <c r="L10" s="374"/>
      <c r="M10" s="400"/>
      <c r="N10" s="400"/>
      <c r="O10" s="400"/>
      <c r="S10" s="1196" t="s">
        <v>292</v>
      </c>
      <c r="T10" s="1197"/>
      <c r="U10" s="946" t="s">
        <v>937</v>
      </c>
      <c r="V10" s="1195"/>
      <c r="W10" s="1195"/>
      <c r="X10" s="203"/>
      <c r="Y10" s="203"/>
    </row>
    <row r="11" spans="2:26" ht="15" thickBot="1" x14ac:dyDescent="0.25">
      <c r="T11" s="1142"/>
      <c r="U11" s="1142"/>
      <c r="V11" s="1142"/>
      <c r="W11" s="1198"/>
      <c r="X11" s="1198"/>
      <c r="Y11" s="203"/>
      <c r="Z11" s="203"/>
    </row>
    <row r="12" spans="2:26" ht="15.75" thickBot="1" x14ac:dyDescent="0.25">
      <c r="B12" s="1100"/>
      <c r="C12" s="215"/>
      <c r="D12" s="215"/>
      <c r="E12" s="215"/>
      <c r="F12" s="215"/>
      <c r="G12" s="215"/>
      <c r="H12" s="215"/>
      <c r="I12" s="304"/>
      <c r="K12" s="48"/>
      <c r="L12" s="1143"/>
      <c r="M12" s="33"/>
      <c r="N12" s="296"/>
      <c r="O12" s="296"/>
      <c r="P12" s="674"/>
      <c r="R12" s="48"/>
      <c r="S12" s="33"/>
      <c r="T12" s="33"/>
      <c r="U12" s="33"/>
      <c r="V12" s="33"/>
      <c r="W12" s="33"/>
      <c r="X12" s="33"/>
      <c r="Y12" s="836"/>
    </row>
    <row r="13" spans="2:26" ht="15" customHeight="1" x14ac:dyDescent="0.2">
      <c r="B13" s="1101"/>
      <c r="C13" s="1891" t="s">
        <v>892</v>
      </c>
      <c r="D13" s="1892"/>
      <c r="E13" s="1892"/>
      <c r="F13" s="1892"/>
      <c r="G13" s="1892"/>
      <c r="H13" s="1893"/>
      <c r="I13" s="1102"/>
      <c r="K13" s="25"/>
      <c r="L13" s="1900" t="s">
        <v>376</v>
      </c>
      <c r="M13" s="1901"/>
      <c r="N13" s="1901"/>
      <c r="O13" s="1902"/>
      <c r="P13" s="675"/>
      <c r="R13" s="25"/>
      <c r="S13" s="281"/>
      <c r="T13" s="26"/>
      <c r="U13" s="26"/>
      <c r="V13" s="26"/>
      <c r="W13" s="26"/>
      <c r="X13" s="26"/>
      <c r="Y13" s="780"/>
    </row>
    <row r="14" spans="2:26" ht="17.25" customHeight="1" thickBot="1" x14ac:dyDescent="0.25">
      <c r="B14" s="1101"/>
      <c r="C14" s="1894"/>
      <c r="D14" s="1895"/>
      <c r="E14" s="1895"/>
      <c r="F14" s="1895"/>
      <c r="G14" s="1895"/>
      <c r="H14" s="1896"/>
      <c r="I14" s="1102"/>
      <c r="K14" s="25"/>
      <c r="L14" s="1903"/>
      <c r="M14" s="1904"/>
      <c r="N14" s="1904"/>
      <c r="O14" s="1905"/>
      <c r="P14" s="675"/>
      <c r="R14" s="25"/>
      <c r="S14" s="1833" t="s">
        <v>20</v>
      </c>
      <c r="T14" s="26"/>
      <c r="U14" s="26"/>
      <c r="V14" s="26"/>
      <c r="W14" s="34"/>
      <c r="X14" s="26"/>
      <c r="Y14" s="780"/>
    </row>
    <row r="15" spans="2:26" ht="30" customHeight="1" thickBot="1" x14ac:dyDescent="0.25">
      <c r="B15" s="1101"/>
      <c r="C15" s="952"/>
      <c r="D15" s="952"/>
      <c r="E15" s="952"/>
      <c r="F15" s="952"/>
      <c r="G15" s="952"/>
      <c r="H15" s="210"/>
      <c r="I15" s="1102"/>
      <c r="K15" s="1101"/>
      <c r="L15" s="207"/>
      <c r="M15" s="207"/>
      <c r="N15" s="207"/>
      <c r="O15" s="207"/>
      <c r="P15" s="1102"/>
      <c r="R15" s="25"/>
      <c r="S15" s="1833"/>
      <c r="T15" s="26"/>
      <c r="U15" s="26"/>
      <c r="V15" s="26"/>
      <c r="W15" s="26"/>
      <c r="X15" s="26"/>
      <c r="Y15" s="780"/>
    </row>
    <row r="16" spans="2:26" ht="30" customHeight="1" x14ac:dyDescent="0.2">
      <c r="B16" s="1101"/>
      <c r="C16" s="1906" t="s">
        <v>959</v>
      </c>
      <c r="D16" s="1907"/>
      <c r="E16" s="1066"/>
      <c r="F16" s="1897" t="s">
        <v>319</v>
      </c>
      <c r="G16" s="1898"/>
      <c r="H16" s="1899"/>
      <c r="I16" s="1102"/>
      <c r="K16" s="1101"/>
      <c r="L16" s="1170"/>
      <c r="M16" s="1171"/>
      <c r="N16" s="1172" t="s">
        <v>343</v>
      </c>
      <c r="O16" s="1173" t="s">
        <v>379</v>
      </c>
      <c r="P16" s="1102"/>
      <c r="R16" s="25"/>
      <c r="S16" s="1833"/>
      <c r="T16" s="26"/>
      <c r="U16" s="26"/>
      <c r="V16" s="635"/>
      <c r="W16" s="635"/>
      <c r="X16" s="26"/>
      <c r="Y16" s="780"/>
    </row>
    <row r="17" spans="2:34" ht="19.5" customHeight="1" thickBot="1" x14ac:dyDescent="0.25">
      <c r="B17" s="1101"/>
      <c r="C17" s="1908"/>
      <c r="D17" s="1909"/>
      <c r="E17" s="1067" t="s">
        <v>337</v>
      </c>
      <c r="F17" s="1074" t="s">
        <v>12</v>
      </c>
      <c r="G17" s="1075" t="s">
        <v>339</v>
      </c>
      <c r="H17" s="1076" t="s">
        <v>225</v>
      </c>
      <c r="I17" s="1102"/>
      <c r="K17" s="25"/>
      <c r="L17" s="1174"/>
      <c r="M17" s="1175"/>
      <c r="N17" s="1176" t="s">
        <v>912</v>
      </c>
      <c r="O17" s="1177" t="s">
        <v>555</v>
      </c>
      <c r="P17" s="675"/>
      <c r="R17" s="25"/>
      <c r="S17" s="1833"/>
      <c r="T17" s="26"/>
      <c r="U17" s="26"/>
      <c r="V17" s="26"/>
      <c r="W17" s="26"/>
      <c r="X17" s="26"/>
      <c r="Y17" s="780"/>
    </row>
    <row r="18" spans="2:34" ht="18" customHeight="1" x14ac:dyDescent="0.25">
      <c r="B18" s="1101"/>
      <c r="C18" s="1910" t="s">
        <v>340</v>
      </c>
      <c r="D18" s="1911"/>
      <c r="E18" s="1068" t="s">
        <v>894</v>
      </c>
      <c r="F18" s="1077" t="s">
        <v>894</v>
      </c>
      <c r="G18" s="1078" t="s">
        <v>518</v>
      </c>
      <c r="H18" s="1079" t="s">
        <v>518</v>
      </c>
      <c r="I18" s="1102"/>
      <c r="K18" s="1101"/>
      <c r="L18" s="1917" t="s">
        <v>923</v>
      </c>
      <c r="M18" s="1918"/>
      <c r="N18" s="1553"/>
      <c r="O18" s="493">
        <f>N18*$AF$45*1000</f>
        <v>0</v>
      </c>
      <c r="P18" s="1102"/>
      <c r="R18" s="25"/>
      <c r="S18" s="1833"/>
      <c r="T18" s="26"/>
      <c r="U18" s="26"/>
      <c r="V18" s="26"/>
      <c r="W18" s="26"/>
      <c r="X18" s="26"/>
      <c r="Y18" s="780"/>
      <c r="AC18" s="289" t="s">
        <v>901</v>
      </c>
      <c r="AD18" s="290"/>
      <c r="AE18" s="290"/>
      <c r="AF18" s="290"/>
      <c r="AG18" s="1315" t="s">
        <v>977</v>
      </c>
    </row>
    <row r="19" spans="2:34" ht="18" customHeight="1" x14ac:dyDescent="0.2">
      <c r="B19" s="1101"/>
      <c r="C19" s="1881" t="str">
        <f>AC28</f>
        <v>Mostherstellung (Waschen, Pressen, Schönen *)</v>
      </c>
      <c r="D19" s="1882"/>
      <c r="E19" s="1566"/>
      <c r="F19" s="1080">
        <f>IF($C$20=TRUE,$E19*AD28,$E19*(AD28+AD29))</f>
        <v>0</v>
      </c>
      <c r="G19" s="1004">
        <f>IF($C$20=TRUE,$E19*AE28,$E19*(AE28+AE29))</f>
        <v>0</v>
      </c>
      <c r="H19" s="1081">
        <f>IF($C$20=TRUE,$E19*AF28,$E19*(AF28+AF29))</f>
        <v>0</v>
      </c>
      <c r="I19" s="1102"/>
      <c r="K19" s="25"/>
      <c r="L19" s="1919" t="s">
        <v>924</v>
      </c>
      <c r="M19" s="1920"/>
      <c r="N19" s="1178">
        <f>SUM(E32:E34)</f>
        <v>0</v>
      </c>
      <c r="O19" s="493">
        <f>N19*$AF$45*1000</f>
        <v>0</v>
      </c>
      <c r="P19" s="675"/>
      <c r="R19" s="25"/>
      <c r="S19" s="1833"/>
      <c r="T19" s="26"/>
      <c r="U19" s="26"/>
      <c r="V19" s="26"/>
      <c r="W19" s="26"/>
      <c r="X19" s="26"/>
      <c r="Y19" s="780"/>
      <c r="AC19" s="165" t="s">
        <v>321</v>
      </c>
      <c r="AD19" s="286" t="s">
        <v>322</v>
      </c>
      <c r="AE19" s="286" t="s">
        <v>323</v>
      </c>
      <c r="AF19" s="1312" t="s">
        <v>225</v>
      </c>
      <c r="AG19" s="1316" t="s">
        <v>982</v>
      </c>
    </row>
    <row r="20" spans="2:34" ht="18" customHeight="1" x14ac:dyDescent="0.25">
      <c r="B20" s="1101"/>
      <c r="C20" s="1105" t="b">
        <v>1</v>
      </c>
      <c r="D20" s="1106"/>
      <c r="E20" s="1107" t="b">
        <v>0</v>
      </c>
      <c r="F20" s="1122"/>
      <c r="G20" s="1108"/>
      <c r="H20" s="1109" t="s">
        <v>53</v>
      </c>
      <c r="I20" s="1102"/>
      <c r="K20" s="25"/>
      <c r="L20" s="1913" t="s">
        <v>260</v>
      </c>
      <c r="M20" s="1914"/>
      <c r="N20" s="1179"/>
      <c r="O20" s="818">
        <f>O18+O19</f>
        <v>0</v>
      </c>
      <c r="P20" s="675"/>
      <c r="R20" s="25"/>
      <c r="S20" s="6"/>
      <c r="T20" s="26"/>
      <c r="U20" s="26"/>
      <c r="V20" s="26"/>
      <c r="W20" s="26"/>
      <c r="X20" s="26"/>
      <c r="Y20" s="780"/>
      <c r="AC20" s="165"/>
      <c r="AD20" s="286" t="s">
        <v>324</v>
      </c>
      <c r="AE20" s="286" t="s">
        <v>325</v>
      </c>
      <c r="AF20" s="1312" t="s">
        <v>325</v>
      </c>
      <c r="AG20" s="1316" t="s">
        <v>981</v>
      </c>
    </row>
    <row r="21" spans="2:34" ht="18" customHeight="1" x14ac:dyDescent="0.2">
      <c r="B21" s="1101"/>
      <c r="C21" s="1877" t="s">
        <v>978</v>
      </c>
      <c r="D21" s="1912"/>
      <c r="E21" s="1566"/>
      <c r="F21" s="1080">
        <f>E21*AD30</f>
        <v>0</v>
      </c>
      <c r="G21" s="1004">
        <f>E21*AE30</f>
        <v>0</v>
      </c>
      <c r="H21" s="1081">
        <f>E21*AF30</f>
        <v>0</v>
      </c>
      <c r="I21" s="1102"/>
      <c r="K21" s="25"/>
      <c r="L21" s="1915" t="s">
        <v>929</v>
      </c>
      <c r="M21" s="1916"/>
      <c r="N21" s="1916"/>
      <c r="O21" s="1552"/>
      <c r="P21" s="1102"/>
      <c r="R21" s="25"/>
      <c r="S21" s="45" t="s">
        <v>109</v>
      </c>
      <c r="T21" s="26"/>
      <c r="U21" s="26"/>
      <c r="V21" s="26"/>
      <c r="W21" s="26"/>
      <c r="X21" s="26"/>
      <c r="Y21" s="780"/>
      <c r="AC21" s="165" t="s">
        <v>342</v>
      </c>
      <c r="AD21" s="286">
        <v>1.4</v>
      </c>
      <c r="AE21" s="286">
        <v>3</v>
      </c>
      <c r="AF21" s="1313">
        <v>4.4000000000000004</v>
      </c>
      <c r="AG21" s="1317">
        <f>AE21/0.1</f>
        <v>30</v>
      </c>
    </row>
    <row r="22" spans="2:34" ht="18" customHeight="1" thickBot="1" x14ac:dyDescent="0.25">
      <c r="B22" s="1101"/>
      <c r="C22" s="1877" t="s">
        <v>899</v>
      </c>
      <c r="D22" s="1912"/>
      <c r="E22" s="1566"/>
      <c r="F22" s="1080">
        <f>$E22*AD31</f>
        <v>0</v>
      </c>
      <c r="G22" s="1004">
        <f>$E22*AE31</f>
        <v>0</v>
      </c>
      <c r="H22" s="1081">
        <f>$E22*AF31</f>
        <v>0</v>
      </c>
      <c r="I22" s="1102"/>
      <c r="K22" s="25"/>
      <c r="L22" s="297" t="s">
        <v>125</v>
      </c>
      <c r="M22" s="252"/>
      <c r="N22" s="1149"/>
      <c r="O22" s="284" t="e">
        <f>O20/O19</f>
        <v>#DIV/0!</v>
      </c>
      <c r="P22" s="1102"/>
      <c r="R22" s="25"/>
      <c r="S22" s="26" t="s">
        <v>147</v>
      </c>
      <c r="T22" s="26"/>
      <c r="U22" s="26"/>
      <c r="V22" s="26"/>
      <c r="W22" s="26"/>
      <c r="X22" s="26"/>
      <c r="Y22" s="780"/>
      <c r="AC22" s="165" t="s">
        <v>327</v>
      </c>
      <c r="AD22" s="286">
        <v>1.5</v>
      </c>
      <c r="AE22" s="286">
        <v>6.2</v>
      </c>
      <c r="AF22" s="1313">
        <v>9</v>
      </c>
      <c r="AG22" s="1317">
        <f>AE22/0.1</f>
        <v>62</v>
      </c>
    </row>
    <row r="23" spans="2:34" ht="18" customHeight="1" thickBot="1" x14ac:dyDescent="0.25">
      <c r="B23" s="1101"/>
      <c r="C23" s="1877" t="s">
        <v>900</v>
      </c>
      <c r="D23" s="1878"/>
      <c r="E23" s="1566"/>
      <c r="F23" s="1080">
        <f t="shared" ref="F23:H26" si="0">$E23*AD31</f>
        <v>0</v>
      </c>
      <c r="G23" s="1004">
        <f t="shared" si="0"/>
        <v>0</v>
      </c>
      <c r="H23" s="1081">
        <f t="shared" si="0"/>
        <v>0</v>
      </c>
      <c r="I23" s="1102"/>
      <c r="K23" s="1101"/>
      <c r="L23" s="298" t="s">
        <v>124</v>
      </c>
      <c r="M23" s="27"/>
      <c r="N23" s="1150"/>
      <c r="O23" s="32" t="e">
        <f>IF(O22&gt;0,IF(O22&lt;=Gut,"gut",IF(O22&lt;=Potential,"Potential","Bedarf")),"")</f>
        <v>#DIV/0!</v>
      </c>
      <c r="P23" s="1102"/>
      <c r="R23" s="25"/>
      <c r="S23" s="26" t="s">
        <v>110</v>
      </c>
      <c r="T23" s="26"/>
      <c r="U23" s="26"/>
      <c r="V23" s="26"/>
      <c r="W23" s="26"/>
      <c r="X23" s="26"/>
      <c r="Y23" s="780"/>
      <c r="AC23" s="165" t="s">
        <v>910</v>
      </c>
      <c r="AD23" s="1111">
        <v>2</v>
      </c>
      <c r="AE23" s="286">
        <v>2.5</v>
      </c>
      <c r="AF23" s="1313">
        <f>1.7*AE23</f>
        <v>4.25</v>
      </c>
      <c r="AG23" s="1317">
        <f>AE23/0.08</f>
        <v>31.25</v>
      </c>
    </row>
    <row r="24" spans="2:34" ht="18" customHeight="1" thickBot="1" x14ac:dyDescent="0.25">
      <c r="B24" s="1101"/>
      <c r="C24" s="1879" t="str">
        <f>AC32</f>
        <v>Gebindereinigung, wenn Mehrweggebinde verwendet</v>
      </c>
      <c r="D24" s="1880"/>
      <c r="E24" s="1110">
        <f>E23</f>
        <v>0</v>
      </c>
      <c r="F24" s="1080">
        <f t="shared" si="0"/>
        <v>0</v>
      </c>
      <c r="G24" s="1004">
        <f t="shared" si="0"/>
        <v>0</v>
      </c>
      <c r="H24" s="1081">
        <f t="shared" si="0"/>
        <v>0</v>
      </c>
      <c r="I24" s="1102"/>
      <c r="K24" s="1101"/>
      <c r="L24" s="299" t="s">
        <v>408</v>
      </c>
      <c r="M24" s="207"/>
      <c r="N24" s="207"/>
      <c r="O24" s="207"/>
      <c r="P24" s="1102"/>
      <c r="R24" s="25"/>
      <c r="S24" s="26" t="s">
        <v>111</v>
      </c>
      <c r="T24" s="26"/>
      <c r="U24" s="26"/>
      <c r="V24" s="26"/>
      <c r="W24" s="26"/>
      <c r="X24" s="26"/>
      <c r="Y24" s="780"/>
      <c r="AC24" s="171" t="s">
        <v>326</v>
      </c>
      <c r="AD24" s="1112">
        <v>3.9</v>
      </c>
      <c r="AE24" s="291">
        <v>9</v>
      </c>
      <c r="AF24" s="1314">
        <v>13.5</v>
      </c>
      <c r="AG24" s="1318">
        <f>AE24/0.12</f>
        <v>75</v>
      </c>
    </row>
    <row r="25" spans="2:34" ht="18" customHeight="1" thickBot="1" x14ac:dyDescent="0.25">
      <c r="B25" s="1101"/>
      <c r="C25" s="1881" t="str">
        <f>AC33</f>
        <v>Konzentratherstellung</v>
      </c>
      <c r="D25" s="1882"/>
      <c r="E25" s="1566"/>
      <c r="F25" s="1080">
        <f t="shared" si="0"/>
        <v>0</v>
      </c>
      <c r="G25" s="1004">
        <f t="shared" si="0"/>
        <v>0</v>
      </c>
      <c r="H25" s="1081">
        <f t="shared" si="0"/>
        <v>0</v>
      </c>
      <c r="I25" s="1102"/>
      <c r="K25" s="1101"/>
      <c r="L25" s="207"/>
      <c r="M25" s="207"/>
      <c r="N25" s="207"/>
      <c r="O25" s="207"/>
      <c r="P25" s="1102"/>
      <c r="R25" s="25"/>
      <c r="S25" s="80"/>
      <c r="T25" s="896"/>
      <c r="U25" s="100"/>
      <c r="V25" s="81"/>
      <c r="W25" s="81"/>
      <c r="X25" s="26"/>
      <c r="Y25" s="780"/>
    </row>
    <row r="26" spans="2:34" ht="18" customHeight="1" thickBot="1" x14ac:dyDescent="0.3">
      <c r="B26" s="1101"/>
      <c r="C26" s="1859" t="str">
        <f>AC34</f>
        <v>Verdünnen und Abfüllen aus Konzentrat</v>
      </c>
      <c r="D26" s="1883"/>
      <c r="E26" s="1567"/>
      <c r="F26" s="1082">
        <f t="shared" si="0"/>
        <v>0</v>
      </c>
      <c r="G26" s="1083">
        <f t="shared" si="0"/>
        <v>0</v>
      </c>
      <c r="H26" s="1084">
        <f t="shared" si="0"/>
        <v>0</v>
      </c>
      <c r="I26" s="1102"/>
      <c r="K26" s="1101"/>
      <c r="L26" s="482" t="s">
        <v>560</v>
      </c>
      <c r="M26" s="276"/>
      <c r="N26" s="276"/>
      <c r="O26" s="276"/>
      <c r="P26" s="413"/>
      <c r="Q26" s="399"/>
      <c r="R26" s="412"/>
      <c r="S26" s="209"/>
      <c r="T26" s="896"/>
      <c r="U26" s="896"/>
      <c r="V26" s="713"/>
      <c r="W26" s="713"/>
      <c r="X26" s="26"/>
      <c r="Y26" s="780"/>
      <c r="AC26" s="163" t="s">
        <v>902</v>
      </c>
      <c r="AD26" s="292" t="s">
        <v>322</v>
      </c>
      <c r="AE26" s="292" t="s">
        <v>323</v>
      </c>
      <c r="AF26" s="292" t="s">
        <v>225</v>
      </c>
      <c r="AG26" s="164" t="s">
        <v>330</v>
      </c>
    </row>
    <row r="27" spans="2:34" ht="18" customHeight="1" thickBot="1" x14ac:dyDescent="0.3">
      <c r="B27" s="1101"/>
      <c r="C27" s="1884" t="s">
        <v>350</v>
      </c>
      <c r="D27" s="1885"/>
      <c r="E27" s="1204"/>
      <c r="F27" s="1085">
        <f>SUM(F19:F26)</f>
        <v>0</v>
      </c>
      <c r="G27" s="1086">
        <f>SUM(G19:G26)</f>
        <v>0</v>
      </c>
      <c r="H27" s="1087">
        <f>SUM(H19:H26)</f>
        <v>0</v>
      </c>
      <c r="I27" s="1102"/>
      <c r="K27" s="1101"/>
      <c r="L27" s="722"/>
      <c r="M27" s="697"/>
      <c r="N27" s="719"/>
      <c r="O27" s="697"/>
      <c r="P27" s="699"/>
      <c r="Q27" s="399"/>
      <c r="R27" s="1101"/>
      <c r="S27" s="1717" t="s">
        <v>75</v>
      </c>
      <c r="T27" s="1717"/>
      <c r="U27" s="1717"/>
      <c r="V27" s="1717"/>
      <c r="W27" s="1717"/>
      <c r="X27" s="33"/>
      <c r="Y27" s="780"/>
      <c r="AC27" s="293" t="s">
        <v>332</v>
      </c>
      <c r="AD27" s="285" t="s">
        <v>328</v>
      </c>
      <c r="AE27" s="285" t="s">
        <v>329</v>
      </c>
      <c r="AF27" s="285" t="s">
        <v>329</v>
      </c>
      <c r="AG27" s="166" t="s">
        <v>331</v>
      </c>
    </row>
    <row r="28" spans="2:34" ht="18" customHeight="1" thickBot="1" x14ac:dyDescent="0.25">
      <c r="B28" s="1101"/>
      <c r="C28" s="305"/>
      <c r="D28" s="26"/>
      <c r="E28" s="26"/>
      <c r="F28" s="305" t="s">
        <v>390</v>
      </c>
      <c r="G28" s="207"/>
      <c r="H28" s="207"/>
      <c r="I28" s="1102"/>
      <c r="K28" s="1101"/>
      <c r="L28" s="722" t="s">
        <v>930</v>
      </c>
      <c r="M28" s="456">
        <f>IF(O20&gt;0,O21-O20,0)</f>
        <v>0</v>
      </c>
      <c r="N28" s="719" t="s">
        <v>529</v>
      </c>
      <c r="O28" s="456">
        <f>IF(O20&gt;0,M28/2*0.2+M28/2/10*0.6,0)</f>
        <v>0</v>
      </c>
      <c r="P28" s="699"/>
      <c r="Q28" s="399"/>
      <c r="R28" s="1101"/>
      <c r="S28" s="1793" t="s">
        <v>79</v>
      </c>
      <c r="T28" s="1793"/>
      <c r="U28" s="1793"/>
      <c r="V28" s="1793"/>
      <c r="W28" s="1793"/>
      <c r="X28" s="1559" t="s">
        <v>11</v>
      </c>
      <c r="Y28" s="780"/>
      <c r="AC28" s="1166" t="s">
        <v>341</v>
      </c>
      <c r="AD28" s="287">
        <v>2</v>
      </c>
      <c r="AE28" s="1307">
        <f>AF28/1.5</f>
        <v>1.6666666666666667</v>
      </c>
      <c r="AF28" s="287">
        <v>2.5</v>
      </c>
      <c r="AG28" s="120">
        <v>30</v>
      </c>
      <c r="AH28" s="1209"/>
    </row>
    <row r="29" spans="2:34" ht="18" customHeight="1" x14ac:dyDescent="0.2">
      <c r="B29" s="1101"/>
      <c r="C29" s="1069" t="s">
        <v>348</v>
      </c>
      <c r="D29" s="1070"/>
      <c r="E29" s="273"/>
      <c r="F29" s="1088" t="s">
        <v>319</v>
      </c>
      <c r="G29" s="1089"/>
      <c r="H29" s="1090"/>
      <c r="I29" s="1102"/>
      <c r="K29" s="1101"/>
      <c r="L29" s="207"/>
      <c r="M29" s="207"/>
      <c r="N29" s="207"/>
      <c r="O29" s="207"/>
      <c r="P29" s="1102"/>
      <c r="R29" s="1101"/>
      <c r="S29" s="1793" t="s">
        <v>264</v>
      </c>
      <c r="T29" s="1793"/>
      <c r="U29" s="1793"/>
      <c r="V29" s="1793"/>
      <c r="W29" s="1793"/>
      <c r="X29" s="1559" t="s">
        <v>11</v>
      </c>
      <c r="Y29" s="780"/>
      <c r="AC29" s="1166" t="s">
        <v>338</v>
      </c>
      <c r="AD29" s="287">
        <v>1</v>
      </c>
      <c r="AE29" s="1307">
        <f>AF29/2.2</f>
        <v>1.3636363636363635</v>
      </c>
      <c r="AF29" s="287">
        <v>3</v>
      </c>
      <c r="AG29" s="120">
        <v>24</v>
      </c>
      <c r="AH29" s="1209"/>
    </row>
    <row r="30" spans="2:34" ht="18" customHeight="1" x14ac:dyDescent="0.2">
      <c r="B30" s="1101"/>
      <c r="C30" s="1290" t="s">
        <v>960</v>
      </c>
      <c r="D30" s="1071"/>
      <c r="E30" s="274" t="s">
        <v>343</v>
      </c>
      <c r="F30" s="1091" t="s">
        <v>12</v>
      </c>
      <c r="G30" s="1092" t="s">
        <v>339</v>
      </c>
      <c r="H30" s="1093" t="s">
        <v>225</v>
      </c>
      <c r="I30" s="1102"/>
      <c r="K30" s="1101"/>
      <c r="L30" s="207" t="s">
        <v>931</v>
      </c>
      <c r="M30" s="207"/>
      <c r="N30" s="207"/>
      <c r="O30" s="207"/>
      <c r="P30" s="1102"/>
      <c r="R30" s="1101"/>
      <c r="S30" s="1793" t="s">
        <v>117</v>
      </c>
      <c r="T30" s="1793"/>
      <c r="U30" s="1793"/>
      <c r="V30" s="1793"/>
      <c r="W30" s="1793"/>
      <c r="X30" s="1559" t="s">
        <v>11</v>
      </c>
      <c r="Y30" s="780"/>
      <c r="AC30" s="1166" t="s">
        <v>980</v>
      </c>
      <c r="AD30" s="286">
        <v>1</v>
      </c>
      <c r="AE30" s="1309">
        <f>AF30/1.5</f>
        <v>0.33333333333333331</v>
      </c>
      <c r="AF30" s="286">
        <v>0.5</v>
      </c>
      <c r="AG30" s="288">
        <v>5.5</v>
      </c>
    </row>
    <row r="31" spans="2:34" ht="18" customHeight="1" thickBot="1" x14ac:dyDescent="0.25">
      <c r="B31" s="1101"/>
      <c r="C31" s="1072"/>
      <c r="D31" s="1073"/>
      <c r="E31" s="275" t="s">
        <v>895</v>
      </c>
      <c r="F31" s="1077" t="s">
        <v>894</v>
      </c>
      <c r="G31" s="1078" t="s">
        <v>518</v>
      </c>
      <c r="H31" s="1079" t="s">
        <v>518</v>
      </c>
      <c r="I31" s="1102"/>
      <c r="K31" s="1101"/>
      <c r="L31" s="207"/>
      <c r="M31" s="207"/>
      <c r="N31" s="207"/>
      <c r="O31" s="207"/>
      <c r="P31" s="1102"/>
      <c r="R31" s="1101"/>
      <c r="S31" s="1793" t="s">
        <v>389</v>
      </c>
      <c r="T31" s="1793"/>
      <c r="U31" s="1793"/>
      <c r="V31" s="1793"/>
      <c r="W31" s="1793"/>
      <c r="X31" s="1559" t="s">
        <v>11</v>
      </c>
      <c r="Y31" s="780"/>
      <c r="AC31" s="1166" t="s">
        <v>335</v>
      </c>
      <c r="AD31" s="287">
        <v>1</v>
      </c>
      <c r="AE31" s="1307">
        <f>AF31/1.66</f>
        <v>0.30120481927710846</v>
      </c>
      <c r="AF31" s="287">
        <v>0.5</v>
      </c>
      <c r="AG31" s="120">
        <v>5.5</v>
      </c>
      <c r="AH31" s="1209"/>
    </row>
    <row r="32" spans="2:34" ht="18" customHeight="1" x14ac:dyDescent="0.25">
      <c r="B32" s="1101"/>
      <c r="C32" s="1871" t="s">
        <v>896</v>
      </c>
      <c r="D32" s="1872"/>
      <c r="E32" s="1575"/>
      <c r="F32" s="1094">
        <f>$E32*AD38*10</f>
        <v>0</v>
      </c>
      <c r="G32" s="1095">
        <f>$E32*AE38*10</f>
        <v>0</v>
      </c>
      <c r="H32" s="1096">
        <f>$E32*AF38*10</f>
        <v>0</v>
      </c>
      <c r="I32" s="1102"/>
      <c r="K32" s="1101"/>
      <c r="L32" s="207"/>
      <c r="M32" s="207"/>
      <c r="N32" s="207"/>
      <c r="O32" s="207"/>
      <c r="P32" s="1102"/>
      <c r="R32" s="1101"/>
      <c r="S32" s="1793" t="s">
        <v>186</v>
      </c>
      <c r="T32" s="1793"/>
      <c r="U32" s="1793"/>
      <c r="V32" s="1793"/>
      <c r="W32" s="1793"/>
      <c r="X32" s="1559" t="s">
        <v>11</v>
      </c>
      <c r="Y32" s="780"/>
      <c r="AC32" s="1166" t="s">
        <v>336</v>
      </c>
      <c r="AD32" s="287">
        <v>1.5</v>
      </c>
      <c r="AE32" s="1307">
        <f>AF32/1.4</f>
        <v>0.7142857142857143</v>
      </c>
      <c r="AF32" s="287">
        <v>1</v>
      </c>
      <c r="AG32" s="120">
        <v>12</v>
      </c>
      <c r="AH32" s="1209"/>
    </row>
    <row r="33" spans="2:41" ht="18" customHeight="1" thickBot="1" x14ac:dyDescent="0.3">
      <c r="B33" s="1101"/>
      <c r="C33" s="1873" t="s">
        <v>897</v>
      </c>
      <c r="D33" s="1874"/>
      <c r="E33" s="1566"/>
      <c r="F33" s="1080">
        <f>E33*AD24</f>
        <v>0</v>
      </c>
      <c r="G33" s="1004">
        <f>E33*AE24</f>
        <v>0</v>
      </c>
      <c r="H33" s="1081">
        <f>E33*AF24</f>
        <v>0</v>
      </c>
      <c r="I33" s="1102"/>
      <c r="K33" s="1103"/>
      <c r="L33" s="1148"/>
      <c r="M33" s="1148"/>
      <c r="N33" s="1148"/>
      <c r="O33" s="1148"/>
      <c r="P33" s="1180"/>
      <c r="R33" s="1101"/>
      <c r="S33" s="1793" t="s">
        <v>191</v>
      </c>
      <c r="T33" s="1793"/>
      <c r="U33" s="1793"/>
      <c r="V33" s="1793"/>
      <c r="W33" s="1793"/>
      <c r="X33" s="1559" t="s">
        <v>11</v>
      </c>
      <c r="Y33" s="780"/>
      <c r="AC33" s="1166" t="s">
        <v>333</v>
      </c>
      <c r="AD33" s="287">
        <v>2</v>
      </c>
      <c r="AE33" s="1307">
        <f>AF33/1.66</f>
        <v>0.30120481927710846</v>
      </c>
      <c r="AF33" s="287">
        <v>0.5</v>
      </c>
      <c r="AG33" s="120">
        <v>6</v>
      </c>
      <c r="AH33" s="1209"/>
    </row>
    <row r="34" spans="2:41" ht="18" customHeight="1" thickBot="1" x14ac:dyDescent="0.3">
      <c r="B34" s="1101"/>
      <c r="C34" s="1875" t="s">
        <v>898</v>
      </c>
      <c r="D34" s="1876"/>
      <c r="E34" s="1567"/>
      <c r="F34" s="1082">
        <f>E34*AD21</f>
        <v>0</v>
      </c>
      <c r="G34" s="1083">
        <f>E34*AE21</f>
        <v>0</v>
      </c>
      <c r="H34" s="1084">
        <f>E34*AF21</f>
        <v>0</v>
      </c>
      <c r="I34" s="1102"/>
      <c r="R34" s="1101"/>
      <c r="S34" s="1793" t="s">
        <v>80</v>
      </c>
      <c r="T34" s="1793"/>
      <c r="U34" s="1793"/>
      <c r="V34" s="1793"/>
      <c r="W34" s="1793"/>
      <c r="X34" s="1559" t="s">
        <v>11</v>
      </c>
      <c r="Y34" s="780"/>
      <c r="AC34" s="1168" t="s">
        <v>334</v>
      </c>
      <c r="AD34" s="294">
        <v>2</v>
      </c>
      <c r="AE34" s="1308">
        <f>AF34/1.66</f>
        <v>0.30120481927710846</v>
      </c>
      <c r="AF34" s="294">
        <v>0.5</v>
      </c>
      <c r="AG34" s="1203">
        <v>6</v>
      </c>
      <c r="AH34" s="1209"/>
    </row>
    <row r="35" spans="2:41" ht="18" customHeight="1" thickBot="1" x14ac:dyDescent="0.25">
      <c r="B35" s="1101"/>
      <c r="C35" s="1862" t="s">
        <v>349</v>
      </c>
      <c r="D35" s="1863"/>
      <c r="E35" s="1864"/>
      <c r="F35" s="1097">
        <f>SUM(F32:F34)</f>
        <v>0</v>
      </c>
      <c r="G35" s="1098">
        <f t="shared" ref="G35:H35" si="1">SUM(G32:G34)</f>
        <v>0</v>
      </c>
      <c r="H35" s="1099">
        <f t="shared" si="1"/>
        <v>0</v>
      </c>
      <c r="I35" s="1102"/>
      <c r="K35" s="409"/>
      <c r="L35" s="296"/>
      <c r="M35" s="296"/>
      <c r="N35" s="296"/>
      <c r="O35" s="411"/>
      <c r="R35" s="1101"/>
      <c r="S35" s="1793" t="s">
        <v>267</v>
      </c>
      <c r="T35" s="1793"/>
      <c r="U35" s="1793"/>
      <c r="V35" s="1793"/>
      <c r="W35" s="1793"/>
      <c r="X35" s="1559" t="s">
        <v>11</v>
      </c>
      <c r="Y35" s="780"/>
      <c r="AD35" s="1310"/>
      <c r="AE35" s="1310"/>
    </row>
    <row r="36" spans="2:41" ht="18" customHeight="1" thickBot="1" x14ac:dyDescent="0.3">
      <c r="B36" s="1101"/>
      <c r="C36" s="206"/>
      <c r="D36" s="206"/>
      <c r="E36" s="206"/>
      <c r="F36" s="272"/>
      <c r="G36" s="272"/>
      <c r="H36" s="272"/>
      <c r="I36" s="1102"/>
      <c r="K36" s="412"/>
      <c r="L36" s="1630" t="s">
        <v>586</v>
      </c>
      <c r="M36" s="1631"/>
      <c r="N36" s="1632"/>
      <c r="O36" s="413"/>
      <c r="R36" s="1101"/>
      <c r="S36" s="1888"/>
      <c r="T36" s="1888"/>
      <c r="U36" s="1888"/>
      <c r="V36" s="208"/>
      <c r="W36" s="208"/>
      <c r="X36" s="1201"/>
      <c r="Y36" s="780"/>
      <c r="AC36" s="295" t="s">
        <v>928</v>
      </c>
      <c r="AD36" s="307" t="s">
        <v>322</v>
      </c>
      <c r="AE36" s="307" t="s">
        <v>323</v>
      </c>
      <c r="AF36" s="306" t="s">
        <v>225</v>
      </c>
      <c r="AJ36" s="1165" t="s">
        <v>927</v>
      </c>
      <c r="AK36" s="753" t="s">
        <v>362</v>
      </c>
      <c r="AL36" s="753" t="s">
        <v>363</v>
      </c>
      <c r="AM36" s="164"/>
    </row>
    <row r="37" spans="2:41" ht="18" customHeight="1" thickBot="1" x14ac:dyDescent="0.35">
      <c r="B37" s="1101"/>
      <c r="C37" s="1862" t="s">
        <v>23</v>
      </c>
      <c r="D37" s="1863"/>
      <c r="E37" s="1864"/>
      <c r="F37" s="1139" t="s">
        <v>922</v>
      </c>
      <c r="G37" s="1140" t="s">
        <v>684</v>
      </c>
      <c r="H37" s="1141" t="s">
        <v>685</v>
      </c>
      <c r="I37" s="1102"/>
      <c r="K37" s="417"/>
      <c r="L37" s="418"/>
      <c r="M37" s="418"/>
      <c r="N37" s="418"/>
      <c r="O37" s="419"/>
      <c r="R37" s="48"/>
      <c r="S37" s="1889" t="s">
        <v>63</v>
      </c>
      <c r="T37" s="1889"/>
      <c r="U37" s="1889"/>
      <c r="V37" s="1889"/>
      <c r="W37" s="1889"/>
      <c r="X37" s="1202"/>
      <c r="Y37" s="780"/>
      <c r="AC37" s="165" t="s">
        <v>911</v>
      </c>
      <c r="AD37" s="308" t="s">
        <v>344</v>
      </c>
      <c r="AE37" s="308" t="s">
        <v>345</v>
      </c>
      <c r="AF37" s="120" t="s">
        <v>345</v>
      </c>
      <c r="AG37" s="1144"/>
      <c r="AJ37" s="1166" t="s">
        <v>925</v>
      </c>
      <c r="AK37" s="286">
        <v>3.7</v>
      </c>
      <c r="AL37" s="286">
        <v>4.7</v>
      </c>
      <c r="AM37" s="1167" t="s">
        <v>926</v>
      </c>
    </row>
    <row r="38" spans="2:41" ht="18" customHeight="1" thickBot="1" x14ac:dyDescent="0.25">
      <c r="B38" s="1101"/>
      <c r="C38" s="1856" t="str">
        <f>C27</f>
        <v>Summe Most/Fruchtsaftherstellung</v>
      </c>
      <c r="D38" s="1857"/>
      <c r="E38" s="1858"/>
      <c r="F38" s="1136">
        <f>F27</f>
        <v>0</v>
      </c>
      <c r="G38" s="1137">
        <f t="shared" ref="G38:H38" si="2">G27</f>
        <v>0</v>
      </c>
      <c r="H38" s="1138">
        <f t="shared" si="2"/>
        <v>0</v>
      </c>
      <c r="I38" s="1102"/>
      <c r="K38" s="536"/>
      <c r="L38" s="537"/>
      <c r="M38" s="537"/>
      <c r="N38" s="537"/>
      <c r="O38" s="411"/>
      <c r="R38" s="1101"/>
      <c r="S38" s="1793" t="s">
        <v>272</v>
      </c>
      <c r="T38" s="1793"/>
      <c r="U38" s="1793"/>
      <c r="V38" s="1793"/>
      <c r="W38" s="1793"/>
      <c r="X38" s="1559" t="s">
        <v>11</v>
      </c>
      <c r="Y38" s="780"/>
      <c r="AC38" s="1120" t="s">
        <v>346</v>
      </c>
      <c r="AD38" s="1121">
        <v>0.2</v>
      </c>
      <c r="AE38" s="314">
        <v>0.25</v>
      </c>
      <c r="AF38" s="315">
        <f>1.7*AE38</f>
        <v>0.42499999999999999</v>
      </c>
      <c r="AG38" s="1311"/>
      <c r="AJ38" s="1166" t="s">
        <v>404</v>
      </c>
      <c r="AK38" s="286">
        <v>85</v>
      </c>
      <c r="AL38" s="286">
        <v>120</v>
      </c>
      <c r="AM38" s="1167" t="s">
        <v>406</v>
      </c>
    </row>
    <row r="39" spans="2:41" ht="18" customHeight="1" thickBot="1" x14ac:dyDescent="0.25">
      <c r="B39" s="1101"/>
      <c r="C39" s="1859" t="str">
        <f>C35</f>
        <v>Summe diverse Getränke</v>
      </c>
      <c r="D39" s="1860"/>
      <c r="E39" s="1861"/>
      <c r="F39" s="1125">
        <f>F35</f>
        <v>0</v>
      </c>
      <c r="G39" s="1126">
        <f t="shared" ref="G39:H39" si="3">G35</f>
        <v>0</v>
      </c>
      <c r="H39" s="1127">
        <f t="shared" si="3"/>
        <v>0</v>
      </c>
      <c r="I39" s="1102"/>
      <c r="K39" s="412"/>
      <c r="L39" s="1626" t="s">
        <v>570</v>
      </c>
      <c r="M39" s="1627"/>
      <c r="N39" s="701">
        <f>IF(G48&gt;0,G48,0)</f>
        <v>0</v>
      </c>
      <c r="O39" s="413"/>
      <c r="R39" s="1101"/>
      <c r="S39" s="1793" t="s">
        <v>61</v>
      </c>
      <c r="T39" s="1793"/>
      <c r="U39" s="1793"/>
      <c r="V39" s="1793"/>
      <c r="W39" s="1793"/>
      <c r="X39" s="1559" t="s">
        <v>11</v>
      </c>
      <c r="Y39" s="780"/>
      <c r="AC39" s="165" t="s">
        <v>914</v>
      </c>
      <c r="AD39" s="288">
        <v>0.25</v>
      </c>
      <c r="AE39" s="1133"/>
      <c r="AF39" s="312"/>
      <c r="AJ39" s="1166" t="s">
        <v>405</v>
      </c>
      <c r="AK39" s="286">
        <v>7.5</v>
      </c>
      <c r="AL39" s="286">
        <v>11.5</v>
      </c>
      <c r="AM39" s="1167" t="s">
        <v>360</v>
      </c>
    </row>
    <row r="40" spans="2:41" ht="18" customHeight="1" thickBot="1" x14ac:dyDescent="0.25">
      <c r="B40" s="1101"/>
      <c r="C40" s="1862" t="s">
        <v>375</v>
      </c>
      <c r="D40" s="1863"/>
      <c r="E40" s="1864"/>
      <c r="F40" s="1135">
        <f>SUM(F38:F39)</f>
        <v>0</v>
      </c>
      <c r="G40" s="1123">
        <f>SUM(G38:G39)</f>
        <v>0</v>
      </c>
      <c r="H40" s="1124">
        <f>SUM(H38:H39)</f>
        <v>0</v>
      </c>
      <c r="I40" s="1102"/>
      <c r="K40" s="412"/>
      <c r="L40" s="1852" t="s">
        <v>747</v>
      </c>
      <c r="M40" s="1853"/>
      <c r="N40" s="702">
        <f>IF(G49&gt;0,G49,0)</f>
        <v>0</v>
      </c>
      <c r="O40" s="413"/>
      <c r="R40" s="1101"/>
      <c r="S40" s="1793" t="s">
        <v>73</v>
      </c>
      <c r="T40" s="1793"/>
      <c r="U40" s="1793"/>
      <c r="V40" s="1793"/>
      <c r="W40" s="1793"/>
      <c r="X40" s="1559" t="s">
        <v>11</v>
      </c>
      <c r="Y40" s="780"/>
      <c r="AC40" s="171" t="s">
        <v>915</v>
      </c>
      <c r="AD40" s="315">
        <v>0.39</v>
      </c>
      <c r="AE40" s="1134"/>
      <c r="AF40" s="313"/>
      <c r="AJ40" s="1168" t="s">
        <v>322</v>
      </c>
      <c r="AK40" s="291">
        <v>2.2000000000000002</v>
      </c>
      <c r="AL40" s="291">
        <v>3.3</v>
      </c>
      <c r="AM40" s="1169" t="s">
        <v>926</v>
      </c>
    </row>
    <row r="41" spans="2:41" ht="18" customHeight="1" thickBot="1" x14ac:dyDescent="0.25">
      <c r="B41" s="1101"/>
      <c r="C41" s="999"/>
      <c r="D41" s="1000"/>
      <c r="E41" s="1001"/>
      <c r="F41" s="278"/>
      <c r="G41" s="279"/>
      <c r="H41" s="280"/>
      <c r="I41" s="1102"/>
      <c r="K41" s="412"/>
      <c r="L41" s="1628" t="s">
        <v>1002</v>
      </c>
      <c r="M41" s="1629"/>
      <c r="N41" s="702">
        <f>IF(G51&gt;0,G51,0)</f>
        <v>0</v>
      </c>
      <c r="O41" s="413"/>
      <c r="R41" s="1101"/>
      <c r="S41" s="1793" t="s">
        <v>69</v>
      </c>
      <c r="T41" s="1793"/>
      <c r="U41" s="1793"/>
      <c r="V41" s="1793"/>
      <c r="W41" s="1793"/>
      <c r="X41" s="1559" t="s">
        <v>11</v>
      </c>
      <c r="Y41" s="780"/>
      <c r="AC41" s="67"/>
      <c r="AD41" s="313"/>
      <c r="AE41" s="313"/>
      <c r="AF41" s="313"/>
      <c r="AK41" s="1144"/>
      <c r="AL41" s="1144"/>
    </row>
    <row r="42" spans="2:41" ht="18" customHeight="1" thickBot="1" x14ac:dyDescent="0.25">
      <c r="B42" s="1101"/>
      <c r="C42" s="1776" t="s">
        <v>351</v>
      </c>
      <c r="D42" s="1777"/>
      <c r="E42" s="1851"/>
      <c r="F42" s="1576"/>
      <c r="G42" s="1577"/>
      <c r="H42" s="1578"/>
      <c r="I42" s="1102"/>
      <c r="J42" s="660"/>
      <c r="K42" s="412"/>
      <c r="L42" s="1854" t="s">
        <v>769</v>
      </c>
      <c r="M42" s="1855"/>
      <c r="N42" s="704">
        <f>IF(O28&gt;0,O28,0)</f>
        <v>0</v>
      </c>
      <c r="O42" s="413"/>
      <c r="Q42" s="660"/>
      <c r="R42" s="1101"/>
      <c r="S42" s="1793" t="s">
        <v>380</v>
      </c>
      <c r="T42" s="1793"/>
      <c r="U42" s="1793"/>
      <c r="V42" s="1793"/>
      <c r="W42" s="1793"/>
      <c r="X42" s="1559" t="s">
        <v>11</v>
      </c>
      <c r="Y42" s="780"/>
      <c r="AC42" s="163" t="s">
        <v>920</v>
      </c>
      <c r="AD42" s="292"/>
      <c r="AE42" s="292"/>
      <c r="AF42" s="1205">
        <v>0.15</v>
      </c>
      <c r="AG42" s="754" t="s">
        <v>378</v>
      </c>
    </row>
    <row r="43" spans="2:41" ht="18" customHeight="1" thickBot="1" x14ac:dyDescent="0.25">
      <c r="B43" s="1101"/>
      <c r="C43" s="1865" t="s">
        <v>125</v>
      </c>
      <c r="D43" s="1866"/>
      <c r="E43" s="1867"/>
      <c r="F43" s="282" t="e">
        <f>F42/F40</f>
        <v>#DIV/0!</v>
      </c>
      <c r="G43" s="283" t="e">
        <f t="shared" ref="G43:H43" si="4">G42/G40</f>
        <v>#DIV/0!</v>
      </c>
      <c r="H43" s="284" t="e">
        <f t="shared" si="4"/>
        <v>#DIV/0!</v>
      </c>
      <c r="I43" s="675"/>
      <c r="J43" s="660"/>
      <c r="K43" s="412"/>
      <c r="L43" s="1293" t="s">
        <v>573</v>
      </c>
      <c r="M43" s="1361"/>
      <c r="N43" s="1351">
        <f>N39+N41+N42</f>
        <v>0</v>
      </c>
      <c r="O43" s="413"/>
      <c r="Q43" s="660"/>
      <c r="R43" s="1101"/>
      <c r="S43" s="1890" t="s">
        <v>72</v>
      </c>
      <c r="T43" s="1890"/>
      <c r="U43" s="1890"/>
      <c r="V43" s="1890"/>
      <c r="W43" s="1890"/>
      <c r="X43" s="1559" t="s">
        <v>11</v>
      </c>
      <c r="Y43" s="780"/>
      <c r="AC43" s="171" t="s">
        <v>921</v>
      </c>
      <c r="AD43" s="756">
        <v>0.68</v>
      </c>
      <c r="AE43" s="756" t="s">
        <v>916</v>
      </c>
      <c r="AF43" s="1206">
        <f>0.27778*AD43</f>
        <v>0.18889040000000004</v>
      </c>
      <c r="AG43" s="1207" t="s">
        <v>378</v>
      </c>
    </row>
    <row r="44" spans="2:41" ht="18" customHeight="1" thickBot="1" x14ac:dyDescent="0.25">
      <c r="B44" s="25"/>
      <c r="C44" s="1868" t="s">
        <v>124</v>
      </c>
      <c r="D44" s="1869"/>
      <c r="E44" s="1870"/>
      <c r="F44" s="30" t="e">
        <f>IF(F43&gt;0,IF(F43&lt;=Gut,"gut",IF(F43&lt;=Potential,"Potential","Bedarf")),"")</f>
        <v>#DIV/0!</v>
      </c>
      <c r="G44" s="31" t="e">
        <f>IF(G43&gt;0,IF(G43&lt;=Gut,"gut",IF(G43&lt;=Potential,"Potential","Bedarf")),"")</f>
        <v>#DIV/0!</v>
      </c>
      <c r="H44" s="32" t="e">
        <f>IF(H43&gt;0,IF(H43&lt;=Gut,"gut",IF(H43&lt;=Potential,"Potential","Bedarf")),"")</f>
        <v>#DIV/0!</v>
      </c>
      <c r="I44" s="675"/>
      <c r="J44" s="660"/>
      <c r="K44" s="412"/>
      <c r="L44" s="1748" t="s">
        <v>748</v>
      </c>
      <c r="M44" s="1749"/>
      <c r="N44" s="1351">
        <f>N40+N41+N42</f>
        <v>0</v>
      </c>
      <c r="O44" s="413"/>
      <c r="Q44" s="660"/>
      <c r="R44" s="1101"/>
      <c r="S44" s="1888"/>
      <c r="T44" s="1888"/>
      <c r="U44" s="1888"/>
      <c r="V44" s="208"/>
      <c r="W44" s="208"/>
      <c r="X44" s="1201"/>
      <c r="Y44" s="780"/>
    </row>
    <row r="45" spans="2:41" ht="18" customHeight="1" thickBot="1" x14ac:dyDescent="0.25">
      <c r="B45" s="1101"/>
      <c r="C45" s="207"/>
      <c r="D45" s="207"/>
      <c r="E45" s="207"/>
      <c r="F45" s="207"/>
      <c r="G45" s="207"/>
      <c r="H45" s="207"/>
      <c r="I45" s="1102"/>
      <c r="J45" s="660"/>
      <c r="K45" s="1103"/>
      <c r="L45" s="1148"/>
      <c r="M45" s="1148"/>
      <c r="N45" s="1148"/>
      <c r="O45" s="1180"/>
      <c r="Q45" s="660"/>
      <c r="R45" s="48"/>
      <c r="S45" s="1889" t="s">
        <v>192</v>
      </c>
      <c r="T45" s="1889"/>
      <c r="U45" s="1889"/>
      <c r="V45" s="1889"/>
      <c r="W45" s="1889"/>
      <c r="X45" s="1202"/>
      <c r="Y45" s="780"/>
      <c r="AC45" s="1145" t="s">
        <v>377</v>
      </c>
      <c r="AD45" s="1146"/>
      <c r="AE45" s="1146"/>
      <c r="AF45" s="1208">
        <v>0.4</v>
      </c>
      <c r="AG45" s="1147" t="s">
        <v>378</v>
      </c>
    </row>
    <row r="46" spans="2:41" ht="18" customHeight="1" x14ac:dyDescent="0.25">
      <c r="B46" s="1101"/>
      <c r="C46" s="449" t="s">
        <v>745</v>
      </c>
      <c r="D46" s="207"/>
      <c r="E46" s="207"/>
      <c r="F46" s="207"/>
      <c r="G46" s="207"/>
      <c r="H46" s="207"/>
      <c r="I46" s="1102"/>
      <c r="J46" s="660"/>
      <c r="Q46" s="660"/>
      <c r="R46" s="1101"/>
      <c r="S46" s="1886" t="s">
        <v>388</v>
      </c>
      <c r="T46" s="1886"/>
      <c r="U46" s="1886"/>
      <c r="V46" s="1886"/>
      <c r="W46" s="1886"/>
      <c r="X46" s="1559" t="s">
        <v>11</v>
      </c>
      <c r="Y46" s="780"/>
    </row>
    <row r="47" spans="2:41" ht="18" customHeight="1" x14ac:dyDescent="0.25">
      <c r="B47" s="1101"/>
      <c r="C47" s="137"/>
      <c r="D47" s="449"/>
      <c r="E47" s="276"/>
      <c r="F47" s="276"/>
      <c r="G47" s="276"/>
      <c r="H47" s="1596" t="s">
        <v>1243</v>
      </c>
      <c r="I47" s="413"/>
      <c r="J47" s="660"/>
      <c r="Q47" s="660"/>
      <c r="R47" s="1101"/>
      <c r="S47" s="1793" t="s">
        <v>122</v>
      </c>
      <c r="T47" s="1793"/>
      <c r="U47" s="1793"/>
      <c r="V47" s="1793"/>
      <c r="W47" s="1793"/>
      <c r="X47" s="1559" t="s">
        <v>11</v>
      </c>
      <c r="Y47" s="780"/>
      <c r="AC47" s="41" t="s">
        <v>108</v>
      </c>
      <c r="AD47" s="10"/>
      <c r="AE47" s="10"/>
      <c r="AF47" s="10"/>
      <c r="AG47" s="10"/>
      <c r="AH47" s="10"/>
      <c r="AI47" s="10"/>
      <c r="AJ47" s="10"/>
      <c r="AK47" s="10"/>
      <c r="AL47" s="10"/>
      <c r="AM47" s="65"/>
      <c r="AN47" s="65"/>
      <c r="AO47" s="192"/>
    </row>
    <row r="48" spans="2:41" ht="18" customHeight="1" x14ac:dyDescent="0.25">
      <c r="B48" s="1101"/>
      <c r="C48" s="452" t="s">
        <v>521</v>
      </c>
      <c r="D48" s="137"/>
      <c r="E48" s="456">
        <f>IF(F40&gt;0,F42-F40,0)</f>
        <v>0</v>
      </c>
      <c r="F48" s="719" t="s">
        <v>529</v>
      </c>
      <c r="G48" s="456">
        <f>IF(F40&gt;0,E48*H48,0)</f>
        <v>0</v>
      </c>
      <c r="H48" s="1599">
        <v>4</v>
      </c>
      <c r="I48" s="413"/>
      <c r="J48" s="660"/>
      <c r="Q48" s="660"/>
      <c r="R48" s="1101"/>
      <c r="S48" s="1793" t="s">
        <v>381</v>
      </c>
      <c r="T48" s="1793"/>
      <c r="U48" s="1793"/>
      <c r="V48" s="1793"/>
      <c r="W48" s="1793"/>
      <c r="X48" s="1559" t="s">
        <v>11</v>
      </c>
      <c r="Y48" s="780"/>
      <c r="AC48" s="44" t="s">
        <v>16</v>
      </c>
      <c r="AD48" s="9" t="s">
        <v>26</v>
      </c>
      <c r="AE48" s="9" t="s">
        <v>17</v>
      </c>
      <c r="AF48" s="9" t="s">
        <v>18</v>
      </c>
      <c r="AG48" s="9" t="s">
        <v>19</v>
      </c>
      <c r="AH48" s="42" t="s">
        <v>22</v>
      </c>
      <c r="AI48" s="42" t="s">
        <v>24</v>
      </c>
      <c r="AJ48" s="218" t="s">
        <v>21</v>
      </c>
      <c r="AK48" s="43" t="s">
        <v>25</v>
      </c>
      <c r="AL48" s="43" t="s">
        <v>588</v>
      </c>
      <c r="AM48" s="1184"/>
      <c r="AN48" s="1184"/>
      <c r="AO48" s="192"/>
    </row>
    <row r="49" spans="1:45" ht="18" customHeight="1" x14ac:dyDescent="0.25">
      <c r="B49" s="1101"/>
      <c r="C49" s="452" t="s">
        <v>755</v>
      </c>
      <c r="D49" s="137"/>
      <c r="E49" s="697"/>
      <c r="F49" s="719" t="s">
        <v>893</v>
      </c>
      <c r="G49" s="456">
        <f>((F42*G69)-(F40*G70))*H48</f>
        <v>0</v>
      </c>
      <c r="H49" s="452"/>
      <c r="I49" s="413"/>
      <c r="J49" s="660"/>
      <c r="Q49" s="660"/>
      <c r="R49" s="1101"/>
      <c r="S49" s="1793" t="s">
        <v>107</v>
      </c>
      <c r="T49" s="1793"/>
      <c r="U49" s="1793"/>
      <c r="V49" s="1793"/>
      <c r="W49" s="1793"/>
      <c r="X49" s="1559" t="s">
        <v>11</v>
      </c>
      <c r="Y49" s="780"/>
      <c r="AC49" s="46"/>
      <c r="AD49" s="46"/>
      <c r="AE49" s="195">
        <f>AE50</f>
        <v>0.30000000000000004</v>
      </c>
      <c r="AF49" s="195">
        <f>AF50</f>
        <v>0.4</v>
      </c>
      <c r="AG49" s="195">
        <f>AG50</f>
        <v>0.4</v>
      </c>
      <c r="AH49" s="35"/>
      <c r="AI49" s="46"/>
      <c r="AJ49" s="46"/>
      <c r="AK49" s="46"/>
      <c r="AL49" s="46"/>
      <c r="AM49" s="65"/>
      <c r="AN49" s="65"/>
      <c r="AO49" s="192"/>
    </row>
    <row r="50" spans="1:45" ht="18" customHeight="1" x14ac:dyDescent="0.35">
      <c r="B50" s="1101"/>
      <c r="C50" s="207" t="s">
        <v>996</v>
      </c>
      <c r="D50" s="207"/>
      <c r="E50" s="207"/>
      <c r="F50" s="207"/>
      <c r="G50" s="207"/>
      <c r="H50" s="276"/>
      <c r="I50" s="413"/>
      <c r="J50" s="660"/>
      <c r="Q50" s="660"/>
      <c r="R50" s="1101"/>
      <c r="S50" s="1793" t="s">
        <v>312</v>
      </c>
      <c r="T50" s="1793"/>
      <c r="U50" s="1793"/>
      <c r="V50" s="1793"/>
      <c r="W50" s="1793"/>
      <c r="X50" s="1559" t="s">
        <v>11</v>
      </c>
      <c r="Y50" s="780"/>
      <c r="AC50" s="46" t="str">
        <f>S27</f>
        <v>Wassersparmassnahmen</v>
      </c>
      <c r="AD50" s="196">
        <f>AK50/AL50</f>
        <v>0</v>
      </c>
      <c r="AE50" s="196">
        <f>1.1-Grün</f>
        <v>0.30000000000000004</v>
      </c>
      <c r="AF50" s="196">
        <f>1.1-Rot-AE50</f>
        <v>0.4</v>
      </c>
      <c r="AG50" s="196">
        <f>1.1-AE50-AF50</f>
        <v>0.4</v>
      </c>
      <c r="AH50" s="202">
        <v>1</v>
      </c>
      <c r="AI50" s="110">
        <f>1*AH50</f>
        <v>1</v>
      </c>
      <c r="AJ50" s="57">
        <f>AD50*AH50</f>
        <v>0</v>
      </c>
      <c r="AK50" s="407">
        <f>COUNTIF(X28:X35,"Ja")</f>
        <v>0</v>
      </c>
      <c r="AL50" s="407">
        <f>COUNTA(X28:X35)-COUNTIF(X28:X35,Milchverarbeitung!$AU$71)</f>
        <v>8</v>
      </c>
      <c r="AM50" s="1182"/>
      <c r="AN50" s="68"/>
      <c r="AO50" s="192"/>
    </row>
    <row r="51" spans="1:45" ht="18" customHeight="1" x14ac:dyDescent="0.25">
      <c r="B51" s="1101"/>
      <c r="C51" s="207" t="s">
        <v>997</v>
      </c>
      <c r="D51" s="207"/>
      <c r="E51" s="207"/>
      <c r="F51" s="207"/>
      <c r="G51" s="456">
        <f>IF(F40&gt;0,L80,0)</f>
        <v>0</v>
      </c>
      <c r="H51" s="1850" t="s">
        <v>998</v>
      </c>
      <c r="I51" s="413"/>
      <c r="J51" s="660"/>
      <c r="Q51" s="660"/>
      <c r="R51" s="1101"/>
      <c r="S51" s="1886" t="s">
        <v>275</v>
      </c>
      <c r="T51" s="1886"/>
      <c r="U51" s="1886"/>
      <c r="V51" s="1886"/>
      <c r="W51" s="1886"/>
      <c r="X51" s="1559" t="s">
        <v>11</v>
      </c>
      <c r="Y51" s="780"/>
      <c r="AC51" s="58" t="str">
        <f>S37</f>
        <v>Reinigung</v>
      </c>
      <c r="AD51" s="196">
        <f t="shared" ref="AD51:AD53" si="5">AK51/AL51</f>
        <v>0</v>
      </c>
      <c r="AE51" s="196">
        <f>1.1-Grün</f>
        <v>0.30000000000000004</v>
      </c>
      <c r="AF51" s="196">
        <f>1.1-Rot-AE51</f>
        <v>0.4</v>
      </c>
      <c r="AG51" s="196">
        <f>1.1-AE51-AF51</f>
        <v>0.4</v>
      </c>
      <c r="AH51" s="202">
        <v>1</v>
      </c>
      <c r="AI51" s="110">
        <f>1*AH51</f>
        <v>1</v>
      </c>
      <c r="AJ51" s="57">
        <f>AD51*AH51</f>
        <v>0</v>
      </c>
      <c r="AK51" s="407">
        <f>COUNTIF(X38:X43,"Ja")</f>
        <v>0</v>
      </c>
      <c r="AL51" s="407">
        <f>COUNTA(X38:X43)-COUNTIF(X38:X43,Milchverarbeitung!$AU$71)</f>
        <v>6</v>
      </c>
      <c r="AM51" s="1182"/>
      <c r="AN51" s="68"/>
      <c r="AO51" s="192"/>
    </row>
    <row r="52" spans="1:45" ht="18" customHeight="1" thickBot="1" x14ac:dyDescent="0.3">
      <c r="A52" s="106"/>
      <c r="B52" s="1101"/>
      <c r="C52" s="276"/>
      <c r="D52" s="276"/>
      <c r="E52" s="1334"/>
      <c r="F52" s="276"/>
      <c r="G52" s="276"/>
      <c r="H52" s="1850"/>
      <c r="I52" s="413"/>
      <c r="J52" s="660"/>
      <c r="Q52" s="660"/>
      <c r="R52" s="1101"/>
      <c r="S52" s="94"/>
      <c r="T52" s="94"/>
      <c r="U52" s="94"/>
      <c r="V52" s="208"/>
      <c r="W52" s="208"/>
      <c r="X52" s="1201"/>
      <c r="Y52" s="780"/>
      <c r="AC52" s="46" t="str">
        <f>S45</f>
        <v>Abwasserbelastung/Verluste</v>
      </c>
      <c r="AD52" s="196">
        <f t="shared" si="5"/>
        <v>0</v>
      </c>
      <c r="AE52" s="196">
        <f>1.1-Grün</f>
        <v>0.30000000000000004</v>
      </c>
      <c r="AF52" s="196">
        <f>1.1-Rot-AE52</f>
        <v>0.4</v>
      </c>
      <c r="AG52" s="196">
        <f>1.1-AE52-AF52</f>
        <v>0.4</v>
      </c>
      <c r="AH52" s="202">
        <v>1</v>
      </c>
      <c r="AI52" s="110">
        <f>1*AH52</f>
        <v>1</v>
      </c>
      <c r="AJ52" s="57">
        <f>AD52*AH52</f>
        <v>0</v>
      </c>
      <c r="AK52" s="407">
        <f>COUNTIF(X46:X51,"Ja")</f>
        <v>0</v>
      </c>
      <c r="AL52" s="407">
        <f>COUNTA(X46:X51)-COUNTIF(X46:X51,Milchverarbeitung!$AU$71)</f>
        <v>6</v>
      </c>
      <c r="AM52" s="1182"/>
      <c r="AN52" s="68"/>
      <c r="AO52" s="192"/>
    </row>
    <row r="53" spans="1:45" s="10" customFormat="1" ht="18" customHeight="1" thickBot="1" x14ac:dyDescent="0.3">
      <c r="A53" s="310"/>
      <c r="B53" s="1103"/>
      <c r="C53" s="1148"/>
      <c r="D53" s="1148"/>
      <c r="E53" s="1148"/>
      <c r="F53" s="1148"/>
      <c r="G53" s="1148"/>
      <c r="H53" s="1148"/>
      <c r="I53" s="1180"/>
      <c r="J53" s="660"/>
      <c r="Q53" s="660"/>
      <c r="R53" s="48"/>
      <c r="S53" s="1889" t="s">
        <v>143</v>
      </c>
      <c r="T53" s="1889"/>
      <c r="U53" s="1889"/>
      <c r="V53" s="1889"/>
      <c r="W53" s="1889"/>
      <c r="X53" s="1202"/>
      <c r="Y53" s="1102"/>
      <c r="Z53" s="203"/>
      <c r="AA53" s="203"/>
      <c r="AB53" s="203"/>
      <c r="AC53" s="46" t="str">
        <f>S53</f>
        <v>Energieverbrauch</v>
      </c>
      <c r="AD53" s="196">
        <f t="shared" si="5"/>
        <v>0</v>
      </c>
      <c r="AE53" s="196">
        <f>1.1-Grün</f>
        <v>0.30000000000000004</v>
      </c>
      <c r="AF53" s="196">
        <f>1.1-Rot-AE53</f>
        <v>0.4</v>
      </c>
      <c r="AG53" s="196">
        <f>1.1-AE53-AF53</f>
        <v>0.4</v>
      </c>
      <c r="AH53" s="202">
        <v>0.8</v>
      </c>
      <c r="AI53" s="110">
        <f>1*AH53</f>
        <v>0.8</v>
      </c>
      <c r="AJ53" s="57">
        <f>AD53*AH53</f>
        <v>0</v>
      </c>
      <c r="AK53" s="407">
        <f>COUNTIF(X54:X59,"Ja")</f>
        <v>0</v>
      </c>
      <c r="AL53" s="407">
        <f>COUNTA(X54:X59)-COUNTIF(X54:X59,Milchverarbeitung!$AU$71)</f>
        <v>6</v>
      </c>
      <c r="AM53" s="1182"/>
      <c r="AN53" s="68"/>
      <c r="AO53" s="192"/>
    </row>
    <row r="54" spans="1:45" s="10" customFormat="1" ht="18" customHeight="1" thickBot="1" x14ac:dyDescent="0.3">
      <c r="B54" s="310"/>
      <c r="C54" s="310"/>
      <c r="D54" s="310"/>
      <c r="E54" s="310"/>
      <c r="F54" s="310"/>
      <c r="G54" s="310"/>
      <c r="H54" s="310"/>
      <c r="I54" s="310"/>
      <c r="J54" s="660"/>
      <c r="Q54" s="660"/>
      <c r="R54" s="1101"/>
      <c r="S54" s="1793" t="s">
        <v>189</v>
      </c>
      <c r="T54" s="1793"/>
      <c r="U54" s="1793"/>
      <c r="V54" s="1793"/>
      <c r="W54" s="1793"/>
      <c r="X54" s="1559" t="s">
        <v>11</v>
      </c>
      <c r="Y54" s="1102"/>
      <c r="Z54" s="203"/>
      <c r="AA54" s="203"/>
      <c r="AB54" s="203"/>
      <c r="AC54" s="46"/>
      <c r="AD54" s="56"/>
      <c r="AE54" s="196">
        <f>1.1-Grün</f>
        <v>0.30000000000000004</v>
      </c>
      <c r="AF54" s="196">
        <f>1.1-Rot-AE54</f>
        <v>0.4</v>
      </c>
      <c r="AG54" s="196">
        <f>AG53</f>
        <v>0.4</v>
      </c>
      <c r="AH54" s="109"/>
      <c r="AI54" s="110"/>
      <c r="AJ54" s="57"/>
      <c r="AK54" s="15"/>
      <c r="AL54" s="15"/>
      <c r="AM54" s="68"/>
      <c r="AN54" s="68"/>
      <c r="AO54" s="192"/>
    </row>
    <row r="55" spans="1:45" s="10" customFormat="1" ht="18" customHeight="1" x14ac:dyDescent="0.25">
      <c r="B55" s="880"/>
      <c r="C55" s="998" t="s">
        <v>736</v>
      </c>
      <c r="D55" s="998"/>
      <c r="E55" s="998"/>
      <c r="F55" s="998"/>
      <c r="G55" s="998"/>
      <c r="H55" s="998"/>
      <c r="I55" s="881"/>
      <c r="J55" s="660"/>
      <c r="Q55" s="660"/>
      <c r="R55" s="1101"/>
      <c r="S55" s="1793" t="s">
        <v>283</v>
      </c>
      <c r="T55" s="1793"/>
      <c r="U55" s="1793"/>
      <c r="V55" s="1793"/>
      <c r="W55" s="1793"/>
      <c r="X55" s="1559" t="s">
        <v>11</v>
      </c>
      <c r="Y55" s="1102"/>
      <c r="Z55" s="203"/>
      <c r="AA55" s="203"/>
      <c r="AB55" s="203"/>
      <c r="AC55" s="46"/>
      <c r="AD55" s="46"/>
      <c r="AE55" s="195"/>
      <c r="AF55" s="195"/>
      <c r="AG55" s="195"/>
      <c r="AH55" s="35"/>
      <c r="AI55" s="46"/>
      <c r="AJ55" s="46"/>
      <c r="AK55" s="46"/>
      <c r="AL55" s="46"/>
      <c r="AM55" s="65"/>
      <c r="AN55" s="65"/>
      <c r="AO55" s="192"/>
    </row>
    <row r="56" spans="1:45" s="10" customFormat="1" ht="18" customHeight="1" x14ac:dyDescent="0.25">
      <c r="B56" s="1617" t="s">
        <v>756</v>
      </c>
      <c r="C56" s="1618"/>
      <c r="D56" s="1618"/>
      <c r="E56" s="1618"/>
      <c r="F56" s="1618"/>
      <c r="G56" s="1618"/>
      <c r="H56" s="1618"/>
      <c r="I56" s="1619"/>
      <c r="J56" s="310"/>
      <c r="Q56" s="310"/>
      <c r="R56" s="1101"/>
      <c r="S56" s="1793" t="s">
        <v>287</v>
      </c>
      <c r="T56" s="1793"/>
      <c r="U56" s="1793"/>
      <c r="V56" s="1793"/>
      <c r="W56" s="1793"/>
      <c r="X56" s="1559" t="s">
        <v>11</v>
      </c>
      <c r="Y56" s="1102"/>
      <c r="Z56" s="203"/>
      <c r="AA56" s="203"/>
      <c r="AB56" s="203"/>
      <c r="AH56" s="55" t="s">
        <v>23</v>
      </c>
      <c r="AI56" s="707">
        <f>SUM(AI50:AI53)</f>
        <v>3.8</v>
      </c>
      <c r="AJ56" s="707">
        <f>SUM(AJ50:AJ53)</f>
        <v>0</v>
      </c>
      <c r="AK56" s="550">
        <f>SUM(AK50:AK53)</f>
        <v>0</v>
      </c>
      <c r="AL56" s="1186"/>
      <c r="AM56" s="1185"/>
      <c r="AN56" s="65"/>
      <c r="AO56" s="192"/>
    </row>
    <row r="57" spans="1:45" s="10" customFormat="1" ht="18" customHeight="1" x14ac:dyDescent="0.25">
      <c r="B57" s="1617"/>
      <c r="C57" s="1618"/>
      <c r="D57" s="1618"/>
      <c r="E57" s="1618"/>
      <c r="F57" s="1618"/>
      <c r="G57" s="1618"/>
      <c r="H57" s="1618"/>
      <c r="I57" s="1619"/>
      <c r="J57" s="310"/>
      <c r="Q57" s="310"/>
      <c r="R57" s="1101"/>
      <c r="S57" s="1793" t="s">
        <v>285</v>
      </c>
      <c r="T57" s="1793"/>
      <c r="U57" s="1793"/>
      <c r="V57" s="1793"/>
      <c r="W57" s="1793"/>
      <c r="X57" s="1559" t="s">
        <v>11</v>
      </c>
      <c r="Y57" s="1102"/>
      <c r="Z57" s="203"/>
      <c r="AA57" s="203"/>
      <c r="AB57" s="203"/>
      <c r="AH57" s="9" t="s">
        <v>21</v>
      </c>
      <c r="AI57" s="708"/>
      <c r="AJ57" s="706">
        <f>AJ56/AI56</f>
        <v>0</v>
      </c>
      <c r="AK57" s="1181"/>
      <c r="AL57" s="1183"/>
      <c r="AM57" s="303"/>
      <c r="AN57" s="65"/>
      <c r="AO57" s="192"/>
    </row>
    <row r="58" spans="1:45" s="10" customFormat="1" ht="18" customHeight="1" x14ac:dyDescent="0.25">
      <c r="B58" s="882"/>
      <c r="C58" s="856"/>
      <c r="D58" s="856" t="s">
        <v>750</v>
      </c>
      <c r="E58" s="856" t="s">
        <v>751</v>
      </c>
      <c r="F58" s="399"/>
      <c r="G58" s="399"/>
      <c r="H58" s="399"/>
      <c r="I58" s="883"/>
      <c r="J58" s="310"/>
      <c r="Q58" s="310"/>
      <c r="R58" s="1101"/>
      <c r="S58" s="1793" t="s">
        <v>286</v>
      </c>
      <c r="T58" s="1793"/>
      <c r="U58" s="1793"/>
      <c r="V58" s="1793"/>
      <c r="W58" s="1793"/>
      <c r="X58" s="1559" t="s">
        <v>11</v>
      </c>
      <c r="Y58" s="1102"/>
      <c r="Z58" s="203"/>
      <c r="AA58" s="203"/>
      <c r="AB58" s="203"/>
      <c r="AH58" s="107" t="s">
        <v>27</v>
      </c>
      <c r="AI58" s="709"/>
      <c r="AJ58" s="708">
        <f>SUM(AL50:AL53)</f>
        <v>26</v>
      </c>
      <c r="AK58" s="1182"/>
      <c r="AL58" s="303"/>
      <c r="AM58" s="303"/>
      <c r="AN58" s="65"/>
      <c r="AO58" s="192"/>
      <c r="AR58" s="192"/>
      <c r="AS58" s="192"/>
    </row>
    <row r="59" spans="1:45" s="10" customFormat="1" ht="18" customHeight="1" x14ac:dyDescent="0.25">
      <c r="B59" s="882"/>
      <c r="C59" s="860" t="s">
        <v>737</v>
      </c>
      <c r="D59" s="1104">
        <f>F42</f>
        <v>0</v>
      </c>
      <c r="E59" s="876">
        <f>F40</f>
        <v>0</v>
      </c>
      <c r="F59" s="860" t="s">
        <v>738</v>
      </c>
      <c r="G59" s="861">
        <f>D60/5</f>
        <v>0</v>
      </c>
      <c r="H59" s="861">
        <f>E60/5</f>
        <v>0</v>
      </c>
      <c r="I59" s="883"/>
      <c r="J59" s="310"/>
      <c r="Q59" s="310"/>
      <c r="R59" s="1101"/>
      <c r="S59" s="1886" t="s">
        <v>311</v>
      </c>
      <c r="T59" s="1886"/>
      <c r="U59" s="1886"/>
      <c r="V59" s="1886"/>
      <c r="W59" s="1886"/>
      <c r="X59" s="1559" t="s">
        <v>11</v>
      </c>
      <c r="Y59" s="1102"/>
      <c r="Z59" s="203"/>
      <c r="AA59" s="203"/>
      <c r="AB59" s="203"/>
      <c r="AH59" s="7"/>
      <c r="AI59" s="106"/>
      <c r="AJ59" s="106"/>
      <c r="AK59" s="892"/>
      <c r="AL59" s="303"/>
      <c r="AM59" s="303"/>
      <c r="AO59" s="66"/>
      <c r="AR59" s="192"/>
      <c r="AS59" s="192"/>
    </row>
    <row r="60" spans="1:45" s="10" customFormat="1" ht="18" customHeight="1" thickBot="1" x14ac:dyDescent="0.3">
      <c r="B60" s="882"/>
      <c r="C60" s="860" t="s">
        <v>739</v>
      </c>
      <c r="D60" s="861">
        <f>IF(H42&gt;0,H42,D61*2)</f>
        <v>0</v>
      </c>
      <c r="E60" s="876">
        <f>IF(H40&gt;0,H40,E61*2)</f>
        <v>0</v>
      </c>
      <c r="F60" s="860" t="s">
        <v>740</v>
      </c>
      <c r="G60" s="862">
        <f>D60/3*0.17</f>
        <v>0</v>
      </c>
      <c r="H60" s="862">
        <f>E60/3*0.17</f>
        <v>0</v>
      </c>
      <c r="I60" s="883"/>
      <c r="J60" s="310"/>
      <c r="Q60" s="310"/>
      <c r="R60" s="1103"/>
      <c r="S60" s="1187"/>
      <c r="T60" s="1187"/>
      <c r="U60" s="1187"/>
      <c r="V60" s="1188"/>
      <c r="W60" s="1188"/>
      <c r="X60" s="1148"/>
      <c r="Y60" s="1180"/>
      <c r="Z60" s="203"/>
      <c r="AA60" s="203"/>
      <c r="AB60" s="203"/>
      <c r="AC60" s="66"/>
      <c r="AD60" s="66"/>
      <c r="AE60" s="66"/>
      <c r="AF60" s="66"/>
      <c r="AG60" s="66"/>
      <c r="AH60" s="66"/>
      <c r="AI60" s="66"/>
      <c r="AJ60" s="66"/>
      <c r="AK60" s="66"/>
      <c r="AL60" s="66"/>
      <c r="AM60" s="66"/>
      <c r="AN60" s="66"/>
      <c r="AO60" s="66"/>
      <c r="AR60" s="192"/>
      <c r="AS60" s="192"/>
    </row>
    <row r="61" spans="1:45" s="10" customFormat="1" ht="18" customHeight="1" x14ac:dyDescent="0.25">
      <c r="B61" s="882"/>
      <c r="C61" s="860" t="s">
        <v>749</v>
      </c>
      <c r="D61" s="862">
        <f>G42</f>
        <v>0</v>
      </c>
      <c r="E61" s="876">
        <f>G40</f>
        <v>0</v>
      </c>
      <c r="F61" s="860" t="s">
        <v>741</v>
      </c>
      <c r="G61" s="862">
        <f>D60/3*0.03</f>
        <v>0</v>
      </c>
      <c r="H61" s="862">
        <f>E60/3*0.03</f>
        <v>0</v>
      </c>
      <c r="I61" s="883"/>
      <c r="J61" s="310"/>
      <c r="Q61" s="310"/>
      <c r="R61" s="660"/>
      <c r="S61" s="1192"/>
      <c r="T61" s="1192"/>
      <c r="U61" s="1192"/>
      <c r="V61" s="660"/>
      <c r="W61" s="660"/>
      <c r="X61" s="660"/>
      <c r="Y61" s="203"/>
      <c r="Z61" s="203"/>
      <c r="AA61" s="203"/>
      <c r="AB61" s="203"/>
      <c r="AR61" s="192"/>
      <c r="AS61" s="192"/>
    </row>
    <row r="62" spans="1:45" s="10" customFormat="1" ht="18" customHeight="1" x14ac:dyDescent="0.35">
      <c r="B62" s="882"/>
      <c r="C62" s="877" t="s">
        <v>712</v>
      </c>
      <c r="D62" s="864">
        <f>D60+Zuschlag!$B$35*Zuschlag!$B$34*G60</f>
        <v>0</v>
      </c>
      <c r="E62" s="864">
        <f>E60+Zuschlag!$B$35*Zuschlag!$B$34*H60</f>
        <v>0</v>
      </c>
      <c r="F62" s="865" t="s">
        <v>715</v>
      </c>
      <c r="G62" s="866">
        <f>D59/Zuschlag!$B$22</f>
        <v>0</v>
      </c>
      <c r="H62" s="866">
        <f>E59/Zuschlag!$B$22</f>
        <v>0</v>
      </c>
      <c r="I62" s="883"/>
      <c r="J62" s="310"/>
      <c r="Q62" s="310"/>
      <c r="R62" s="203"/>
      <c r="S62" s="1887"/>
      <c r="T62" s="1887"/>
      <c r="U62" s="1193"/>
      <c r="V62" s="1194"/>
      <c r="W62" s="1195"/>
      <c r="X62" s="203"/>
      <c r="Y62" s="203"/>
      <c r="Z62" s="203"/>
      <c r="AA62" s="203"/>
      <c r="AB62" s="203"/>
      <c r="AR62" s="192"/>
      <c r="AS62" s="192"/>
    </row>
    <row r="63" spans="1:45" s="10" customFormat="1" ht="18" customHeight="1" x14ac:dyDescent="0.35">
      <c r="B63" s="882"/>
      <c r="C63" s="877" t="s">
        <v>713</v>
      </c>
      <c r="D63" s="864">
        <f>G59+Zuschlag!$B$36*D60+Zuschlag!$B$37*G61</f>
        <v>0</v>
      </c>
      <c r="E63" s="864">
        <f>H59+Zuschlag!$B$36*E60+Zuschlag!$B$37*H61</f>
        <v>0</v>
      </c>
      <c r="F63" s="865" t="s">
        <v>716</v>
      </c>
      <c r="G63" s="866">
        <f>D62/Zuschlag!$B$23</f>
        <v>0</v>
      </c>
      <c r="H63" s="866">
        <f>E62/Zuschlag!$B$23</f>
        <v>0</v>
      </c>
      <c r="I63" s="883"/>
      <c r="J63" s="310"/>
      <c r="Q63" s="310"/>
      <c r="R63" s="203"/>
      <c r="S63" s="1199"/>
      <c r="T63" s="1197"/>
      <c r="U63" s="1200"/>
      <c r="V63" s="1195"/>
      <c r="W63" s="1195"/>
      <c r="X63" s="203"/>
      <c r="Y63" s="203"/>
      <c r="Z63" s="203"/>
      <c r="AA63" s="203"/>
      <c r="AB63" s="203"/>
      <c r="AR63" s="192"/>
      <c r="AS63" s="192"/>
    </row>
    <row r="64" spans="1:45" s="10" customFormat="1" ht="18" customHeight="1" x14ac:dyDescent="0.35">
      <c r="B64" s="882"/>
      <c r="C64" s="877" t="s">
        <v>714</v>
      </c>
      <c r="D64" s="864">
        <f>G61</f>
        <v>0</v>
      </c>
      <c r="E64" s="864">
        <f>H61</f>
        <v>0</v>
      </c>
      <c r="F64" s="865" t="s">
        <v>717</v>
      </c>
      <c r="G64" s="866">
        <f>D63/Zuschlag!$B$24</f>
        <v>0</v>
      </c>
      <c r="H64" s="866">
        <f>E63/Zuschlag!$B$24</f>
        <v>0</v>
      </c>
      <c r="I64" s="883"/>
      <c r="J64" s="310"/>
      <c r="Q64" s="310"/>
      <c r="R64" s="203"/>
      <c r="S64" s="1142"/>
      <c r="T64" s="1142"/>
      <c r="U64" s="1142"/>
      <c r="V64" s="1198"/>
      <c r="W64" s="1198"/>
      <c r="X64" s="203"/>
      <c r="Y64" s="203"/>
      <c r="Z64" s="203"/>
      <c r="AA64" s="203"/>
      <c r="AB64" s="203"/>
      <c r="AR64" s="192"/>
      <c r="AS64" s="192"/>
    </row>
    <row r="65" spans="2:45" s="10" customFormat="1" ht="18" customHeight="1" x14ac:dyDescent="0.35">
      <c r="B65" s="882"/>
      <c r="C65" s="378"/>
      <c r="D65" s="378"/>
      <c r="E65" s="67"/>
      <c r="F65" s="865" t="s">
        <v>718</v>
      </c>
      <c r="G65" s="866">
        <f>D64/Zuschlag!$B$21</f>
        <v>0</v>
      </c>
      <c r="H65" s="866">
        <f>E64/Zuschlag!$B$21</f>
        <v>0</v>
      </c>
      <c r="I65" s="883"/>
      <c r="J65" s="310"/>
      <c r="Q65" s="310"/>
      <c r="R65" s="310"/>
      <c r="S65" s="310"/>
      <c r="T65" s="310"/>
      <c r="U65" s="310"/>
      <c r="V65" s="310"/>
      <c r="W65" s="310"/>
      <c r="X65" s="203"/>
      <c r="Y65" s="203"/>
      <c r="Z65" s="203"/>
      <c r="AA65" s="203"/>
      <c r="AB65" s="203"/>
      <c r="AR65" s="192"/>
      <c r="AS65" s="192"/>
    </row>
    <row r="66" spans="2:45" s="10" customFormat="1" ht="18" customHeight="1" x14ac:dyDescent="0.25">
      <c r="B66" s="882"/>
      <c r="C66" s="877" t="s">
        <v>719</v>
      </c>
      <c r="D66" s="666" t="e">
        <f>G63/G62</f>
        <v>#DIV/0!</v>
      </c>
      <c r="E66" s="666" t="e">
        <f>H63/H62</f>
        <v>#DIV/0!</v>
      </c>
      <c r="F66" s="378"/>
      <c r="G66" s="459"/>
      <c r="H66" s="378"/>
      <c r="I66" s="883"/>
      <c r="J66" s="310"/>
      <c r="Q66" s="310"/>
      <c r="R66" s="310"/>
      <c r="S66" s="310"/>
      <c r="T66" s="310"/>
      <c r="U66" s="310"/>
      <c r="V66" s="310"/>
      <c r="W66" s="310"/>
      <c r="X66" s="203"/>
      <c r="Y66" s="203"/>
      <c r="Z66" s="203"/>
      <c r="AA66" s="203"/>
      <c r="AB66" s="203"/>
      <c r="AR66" s="192"/>
      <c r="AS66" s="192"/>
    </row>
    <row r="67" spans="2:45" s="10" customFormat="1" ht="18" customHeight="1" x14ac:dyDescent="0.25">
      <c r="B67" s="882"/>
      <c r="C67" s="877" t="s">
        <v>720</v>
      </c>
      <c r="D67" s="666" t="e">
        <f>G64/G62</f>
        <v>#DIV/0!</v>
      </c>
      <c r="E67" s="666" t="e">
        <f>H64/H62</f>
        <v>#DIV/0!</v>
      </c>
      <c r="F67" s="378"/>
      <c r="G67" s="378"/>
      <c r="H67" s="378"/>
      <c r="I67" s="883"/>
      <c r="J67" s="310"/>
      <c r="Q67" s="310"/>
      <c r="R67" s="310"/>
      <c r="S67" s="310"/>
      <c r="T67" s="310"/>
      <c r="U67" s="310"/>
      <c r="V67" s="310"/>
      <c r="W67" s="310"/>
      <c r="X67" s="203"/>
      <c r="Y67" s="203"/>
      <c r="Z67" s="203"/>
      <c r="AA67" s="203"/>
      <c r="AB67" s="203"/>
      <c r="AR67" s="192"/>
      <c r="AS67" s="192"/>
    </row>
    <row r="68" spans="2:45" s="10" customFormat="1" ht="18" customHeight="1" x14ac:dyDescent="0.25">
      <c r="B68" s="882"/>
      <c r="C68" s="877" t="s">
        <v>721</v>
      </c>
      <c r="D68" s="666" t="e">
        <f>G65/G62</f>
        <v>#DIV/0!</v>
      </c>
      <c r="E68" s="666" t="e">
        <f>H65/H62</f>
        <v>#DIV/0!</v>
      </c>
      <c r="F68" s="67"/>
      <c r="G68" s="67"/>
      <c r="H68" s="378"/>
      <c r="I68" s="883"/>
      <c r="J68" s="660"/>
      <c r="Q68" s="660"/>
      <c r="R68" s="660"/>
      <c r="S68" s="660"/>
      <c r="T68" s="660"/>
      <c r="U68" s="660"/>
      <c r="V68" s="660"/>
      <c r="W68" s="660"/>
      <c r="X68" s="203"/>
      <c r="Y68" s="113"/>
      <c r="Z68" s="113"/>
      <c r="AA68" s="113"/>
      <c r="AR68" s="192"/>
      <c r="AS68" s="192"/>
    </row>
    <row r="69" spans="2:45" s="10" customFormat="1" ht="18" customHeight="1" x14ac:dyDescent="0.25">
      <c r="B69" s="882"/>
      <c r="C69" s="378"/>
      <c r="D69" s="869" t="s">
        <v>742</v>
      </c>
      <c r="E69" s="378"/>
      <c r="F69" s="1261" t="s">
        <v>752</v>
      </c>
      <c r="G69" s="879">
        <f>IFERROR(IF(D60&gt;0,Zuschlag!$B$28+Zuschlag!$B$29*D70+Zuschlag!$B$31*D71+Zuschlag!$B$30*D72,0),0)</f>
        <v>0</v>
      </c>
      <c r="H69" s="67"/>
      <c r="I69" s="883"/>
      <c r="J69" s="660"/>
      <c r="Q69" s="660"/>
      <c r="R69" s="660"/>
      <c r="S69" s="660"/>
      <c r="T69" s="660"/>
      <c r="U69" s="660"/>
      <c r="V69" s="660"/>
      <c r="W69" s="660"/>
      <c r="X69" s="203"/>
      <c r="Y69" s="112"/>
      <c r="Z69" s="112"/>
      <c r="AA69" s="112"/>
      <c r="AR69" s="192"/>
      <c r="AS69" s="192"/>
    </row>
    <row r="70" spans="2:45" ht="18" customHeight="1" x14ac:dyDescent="0.25">
      <c r="B70" s="882"/>
      <c r="C70" s="877" t="s">
        <v>719</v>
      </c>
      <c r="D70" s="666" t="e">
        <f t="shared" ref="D70:E72" si="6">IF(D66&lt;1,1,D66)</f>
        <v>#DIV/0!</v>
      </c>
      <c r="E70" s="666" t="e">
        <f t="shared" si="6"/>
        <v>#DIV/0!</v>
      </c>
      <c r="F70" s="1261" t="s">
        <v>753</v>
      </c>
      <c r="G70" s="879">
        <f>IFERROR(IF(E60&gt;0,Zuschlag!$B$28+Zuschlag!$B$29*E70+Zuschlag!$B$31*E71+Zuschlag!$B$30*E72,0),0)</f>
        <v>0</v>
      </c>
      <c r="H70" s="67"/>
      <c r="I70" s="883"/>
      <c r="Y70" s="112"/>
      <c r="Z70" s="112"/>
      <c r="AA70" s="112"/>
    </row>
    <row r="71" spans="2:45" ht="30" customHeight="1" x14ac:dyDescent="0.25">
      <c r="B71" s="882"/>
      <c r="C71" s="877" t="s">
        <v>720</v>
      </c>
      <c r="D71" s="666" t="e">
        <f t="shared" si="6"/>
        <v>#DIV/0!</v>
      </c>
      <c r="E71" s="666" t="e">
        <f t="shared" si="6"/>
        <v>#DIV/0!</v>
      </c>
      <c r="F71" s="67"/>
      <c r="G71" s="67"/>
      <c r="H71" s="67"/>
      <c r="I71" s="883"/>
      <c r="Y71" s="112"/>
      <c r="Z71" s="112"/>
      <c r="AA71" s="112"/>
    </row>
    <row r="72" spans="2:45" ht="18" customHeight="1" thickBot="1" x14ac:dyDescent="0.3">
      <c r="B72" s="884"/>
      <c r="C72" s="885" t="s">
        <v>721</v>
      </c>
      <c r="D72" s="886" t="e">
        <f t="shared" si="6"/>
        <v>#DIV/0!</v>
      </c>
      <c r="E72" s="886" t="e">
        <f t="shared" si="6"/>
        <v>#DIV/0!</v>
      </c>
      <c r="F72" s="887"/>
      <c r="G72" s="887"/>
      <c r="H72" s="887"/>
      <c r="I72" s="888"/>
      <c r="Y72" s="112"/>
      <c r="Z72" s="112"/>
      <c r="AA72" s="112"/>
    </row>
    <row r="73" spans="2:45" ht="18" customHeight="1" thickBot="1" x14ac:dyDescent="0.3">
      <c r="Y73" s="112"/>
      <c r="Z73" s="112"/>
      <c r="AA73" s="112"/>
    </row>
    <row r="74" spans="2:45" ht="18" customHeight="1" x14ac:dyDescent="0.25">
      <c r="B74" s="1323"/>
      <c r="C74" s="1324" t="s">
        <v>991</v>
      </c>
      <c r="D74" s="1324" t="s">
        <v>986</v>
      </c>
      <c r="E74" s="1324" t="s">
        <v>984</v>
      </c>
      <c r="F74" s="1324" t="s">
        <v>987</v>
      </c>
      <c r="G74" s="1324" t="s">
        <v>988</v>
      </c>
      <c r="H74" s="1324" t="s">
        <v>989</v>
      </c>
      <c r="I74" s="1325"/>
      <c r="J74" s="1325"/>
      <c r="K74" s="1325"/>
      <c r="L74" s="1362" t="s">
        <v>993</v>
      </c>
      <c r="M74" s="1324" t="s">
        <v>994</v>
      </c>
      <c r="N74" s="1326" t="s">
        <v>995</v>
      </c>
      <c r="Y74" s="112"/>
      <c r="Z74" s="112"/>
      <c r="AA74" s="112"/>
    </row>
    <row r="75" spans="2:45" ht="18" customHeight="1" x14ac:dyDescent="0.25">
      <c r="B75" s="1327"/>
      <c r="D75" s="1012" t="s">
        <v>227</v>
      </c>
      <c r="E75" s="1012"/>
      <c r="F75" s="1012" t="s">
        <v>227</v>
      </c>
      <c r="G75" s="1012" t="s">
        <v>227</v>
      </c>
      <c r="H75" s="1012" t="s">
        <v>990</v>
      </c>
      <c r="M75" s="1012" t="s">
        <v>992</v>
      </c>
      <c r="N75" s="1328" t="s">
        <v>992</v>
      </c>
      <c r="Y75" s="112"/>
      <c r="Z75" s="112"/>
      <c r="AA75" s="112"/>
      <c r="AC75" s="300"/>
      <c r="AD75" s="300"/>
      <c r="AE75" s="300"/>
    </row>
    <row r="76" spans="2:45" ht="18" customHeight="1" x14ac:dyDescent="0.25">
      <c r="B76" s="1327"/>
      <c r="C76" s="203" t="s">
        <v>979</v>
      </c>
      <c r="D76" s="1320">
        <f>IF(H27&gt;0,H27/M76,G27/N76)</f>
        <v>0</v>
      </c>
      <c r="E76" s="1321" t="e">
        <f>D76/$D$80</f>
        <v>#DIV/0!</v>
      </c>
      <c r="F76" s="1321" t="e">
        <f>E76*$F$80</f>
        <v>#DIV/0!</v>
      </c>
      <c r="G76" s="1321" t="e">
        <f>F76-D76</f>
        <v>#DIV/0!</v>
      </c>
      <c r="H76" s="1012">
        <v>1000</v>
      </c>
      <c r="L76" s="1363" t="e">
        <f>G76*H76</f>
        <v>#DIV/0!</v>
      </c>
      <c r="M76" s="1012">
        <v>84</v>
      </c>
      <c r="N76" s="1328">
        <v>55</v>
      </c>
      <c r="Y76" s="112"/>
      <c r="Z76" s="112"/>
      <c r="AA76" s="112"/>
      <c r="AC76" s="300"/>
      <c r="AD76" s="300"/>
      <c r="AE76" s="300"/>
    </row>
    <row r="77" spans="2:45" ht="18" customHeight="1" x14ac:dyDescent="0.2">
      <c r="B77" s="1327"/>
      <c r="C77" s="203" t="s">
        <v>976</v>
      </c>
      <c r="D77" s="1320">
        <f>IF(H32&gt;0,H32/M77,G32/N77)</f>
        <v>0</v>
      </c>
      <c r="E77" s="1321" t="e">
        <f>D77/$D$80</f>
        <v>#DIV/0!</v>
      </c>
      <c r="F77" s="1321" t="e">
        <f>E77*$F$80</f>
        <v>#DIV/0!</v>
      </c>
      <c r="G77" s="1321" t="e">
        <f t="shared" ref="G77:G79" si="7">F77-D77</f>
        <v>#DIV/0!</v>
      </c>
      <c r="H77" s="1012">
        <v>1000</v>
      </c>
      <c r="L77" s="1363" t="e">
        <f t="shared" ref="L77:L79" si="8">G77*H77</f>
        <v>#DIV/0!</v>
      </c>
      <c r="M77" s="1012">
        <v>120</v>
      </c>
      <c r="N77" s="1328">
        <v>80</v>
      </c>
      <c r="AC77" s="301"/>
      <c r="AD77" s="301"/>
      <c r="AE77" s="301"/>
    </row>
    <row r="78" spans="2:45" ht="18" customHeight="1" x14ac:dyDescent="0.2">
      <c r="B78" s="1327"/>
      <c r="C78" s="203" t="s">
        <v>326</v>
      </c>
      <c r="D78" s="1320">
        <f>IF(H33&gt;0,H33/M78,G33/N78)</f>
        <v>0</v>
      </c>
      <c r="E78" s="1321" t="e">
        <f>D78/$D$80</f>
        <v>#DIV/0!</v>
      </c>
      <c r="F78" s="1321" t="e">
        <f>E78*$F$80</f>
        <v>#DIV/0!</v>
      </c>
      <c r="G78" s="1321" t="e">
        <f t="shared" si="7"/>
        <v>#DIV/0!</v>
      </c>
      <c r="H78" s="1012">
        <v>5000</v>
      </c>
      <c r="J78" s="660"/>
      <c r="K78" s="660"/>
      <c r="L78" s="1363" t="e">
        <f t="shared" si="8"/>
        <v>#DIV/0!</v>
      </c>
      <c r="M78" s="1012">
        <v>170</v>
      </c>
      <c r="N78" s="1328">
        <v>120</v>
      </c>
      <c r="O78" s="660"/>
      <c r="P78" s="660"/>
      <c r="Q78" s="660"/>
      <c r="R78" s="660"/>
      <c r="S78" s="660"/>
      <c r="T78" s="660"/>
      <c r="U78" s="660"/>
      <c r="V78" s="660"/>
      <c r="W78" s="660"/>
      <c r="AC78" s="214"/>
      <c r="AD78" s="214"/>
      <c r="AE78" s="214"/>
    </row>
    <row r="79" spans="2:45" ht="18" customHeight="1" x14ac:dyDescent="0.25">
      <c r="B79" s="1327"/>
      <c r="C79" s="203" t="s">
        <v>985</v>
      </c>
      <c r="D79" s="1320">
        <f>IF(H34&gt;0,H34/M79,G34/N79)</f>
        <v>0</v>
      </c>
      <c r="E79" s="1321" t="e">
        <f>D79/$D$80</f>
        <v>#DIV/0!</v>
      </c>
      <c r="F79" s="1321" t="e">
        <f>E79*$F$80</f>
        <v>#DIV/0!</v>
      </c>
      <c r="G79" s="1321" t="e">
        <f t="shared" si="7"/>
        <v>#DIV/0!</v>
      </c>
      <c r="H79" s="1012">
        <v>1000</v>
      </c>
      <c r="L79" s="1363" t="e">
        <f t="shared" si="8"/>
        <v>#DIV/0!</v>
      </c>
      <c r="M79" s="1012">
        <v>120</v>
      </c>
      <c r="N79" s="1328">
        <v>80</v>
      </c>
      <c r="Y79" s="112"/>
      <c r="Z79" s="112"/>
      <c r="AA79" s="112"/>
      <c r="AC79" s="205"/>
      <c r="AD79" s="205"/>
      <c r="AE79" s="300"/>
    </row>
    <row r="80" spans="2:45" ht="18" customHeight="1" x14ac:dyDescent="0.25">
      <c r="B80" s="1327"/>
      <c r="C80" s="203" t="s">
        <v>260</v>
      </c>
      <c r="D80" s="1320">
        <f>SUM(D76:D79)</f>
        <v>0</v>
      </c>
      <c r="F80" s="1321" t="e">
        <f>D80/D81*F81</f>
        <v>#DIV/0!</v>
      </c>
      <c r="L80" s="1333" t="e">
        <f>SUM(L76:L79)</f>
        <v>#DIV/0!</v>
      </c>
      <c r="N80" s="1329"/>
      <c r="Y80" s="112"/>
      <c r="Z80" s="112"/>
      <c r="AA80" s="112"/>
      <c r="AC80" s="205"/>
      <c r="AD80" s="205"/>
      <c r="AE80" s="300"/>
    </row>
    <row r="81" spans="2:31" ht="18" customHeight="1" x14ac:dyDescent="0.25">
      <c r="B81" s="1327"/>
      <c r="C81" s="203" t="s">
        <v>46</v>
      </c>
      <c r="D81" s="1319">
        <f>IF(H42&gt;0,H40,G40)</f>
        <v>0</v>
      </c>
      <c r="E81" s="1012"/>
      <c r="F81" s="1322">
        <f>IF(H42&gt;0,H42,G42)</f>
        <v>0</v>
      </c>
      <c r="N81" s="1329"/>
      <c r="Y81" s="112"/>
      <c r="Z81" s="112"/>
      <c r="AA81" s="112"/>
      <c r="AC81" s="302"/>
      <c r="AD81" s="205"/>
      <c r="AE81" s="300"/>
    </row>
    <row r="82" spans="2:31" ht="18" customHeight="1" thickBot="1" x14ac:dyDescent="0.3">
      <c r="B82" s="1330"/>
      <c r="C82" s="1331"/>
      <c r="D82" s="1331"/>
      <c r="E82" s="1331"/>
      <c r="F82" s="1331"/>
      <c r="G82" s="1331"/>
      <c r="H82" s="1331"/>
      <c r="I82" s="1331"/>
      <c r="J82" s="1331"/>
      <c r="K82" s="1331"/>
      <c r="L82" s="1331"/>
      <c r="M82" s="1331"/>
      <c r="N82" s="1332"/>
      <c r="Y82" s="112"/>
      <c r="Z82" s="112"/>
      <c r="AA82" s="112"/>
      <c r="AC82" s="203"/>
      <c r="AD82" s="300"/>
      <c r="AE82" s="300"/>
    </row>
    <row r="83" spans="2:31" ht="18" customHeight="1" x14ac:dyDescent="0.25">
      <c r="Y83" s="112"/>
      <c r="Z83" s="112"/>
      <c r="AA83" s="112"/>
      <c r="AC83" s="300"/>
      <c r="AD83" s="300"/>
      <c r="AE83" s="300"/>
    </row>
    <row r="84" spans="2:31" ht="18" hidden="1" customHeight="1" x14ac:dyDescent="0.25">
      <c r="Y84" s="112"/>
      <c r="Z84" s="112"/>
      <c r="AA84" s="112"/>
      <c r="AC84" s="205"/>
      <c r="AD84" s="205"/>
      <c r="AE84" s="300"/>
    </row>
    <row r="85" spans="2:31" ht="18" hidden="1" customHeight="1" x14ac:dyDescent="0.2">
      <c r="AC85" s="300"/>
      <c r="AD85" s="300"/>
      <c r="AE85" s="300"/>
    </row>
    <row r="86" spans="2:31" ht="18" hidden="1" customHeight="1" x14ac:dyDescent="0.2">
      <c r="J86" s="660"/>
      <c r="K86" s="660"/>
      <c r="L86" s="660"/>
      <c r="M86" s="660"/>
      <c r="N86" s="660"/>
      <c r="O86" s="660"/>
      <c r="P86" s="660"/>
      <c r="Q86" s="660"/>
      <c r="R86" s="660"/>
      <c r="S86" s="660"/>
      <c r="T86" s="660"/>
      <c r="U86" s="660"/>
      <c r="V86" s="660"/>
      <c r="W86" s="660"/>
      <c r="AC86" s="300"/>
      <c r="AD86" s="300"/>
      <c r="AE86" s="300"/>
    </row>
    <row r="87" spans="2:31" ht="18" hidden="1" customHeight="1" x14ac:dyDescent="0.25">
      <c r="Y87" s="112"/>
      <c r="Z87" s="112"/>
      <c r="AA87" s="112"/>
      <c r="AC87" s="300"/>
      <c r="AD87" s="300"/>
      <c r="AE87" s="300"/>
    </row>
    <row r="88" spans="2:31" ht="18" hidden="1" customHeight="1" x14ac:dyDescent="0.25">
      <c r="Y88" s="112"/>
      <c r="Z88" s="112"/>
      <c r="AA88" s="112"/>
      <c r="AC88" s="303"/>
    </row>
    <row r="89" spans="2:31" ht="18" hidden="1" customHeight="1" x14ac:dyDescent="0.25">
      <c r="Y89" s="112"/>
      <c r="Z89" s="112"/>
      <c r="AA89" s="112"/>
      <c r="AC89" s="303"/>
    </row>
    <row r="90" spans="2:31" ht="18" hidden="1" customHeight="1" x14ac:dyDescent="0.25">
      <c r="Y90" s="112"/>
      <c r="Z90" s="112"/>
      <c r="AA90" s="112"/>
      <c r="AC90" s="303"/>
    </row>
    <row r="91" spans="2:31" ht="18" hidden="1" customHeight="1" x14ac:dyDescent="0.25">
      <c r="Y91" s="112"/>
      <c r="Z91" s="112"/>
      <c r="AA91" s="112"/>
      <c r="AC91" s="303"/>
    </row>
    <row r="92" spans="2:31" ht="18" hidden="1" customHeight="1" x14ac:dyDescent="0.25">
      <c r="Y92" s="112"/>
      <c r="Z92" s="112"/>
      <c r="AA92" s="112"/>
    </row>
    <row r="93" spans="2:31" ht="18" hidden="1" customHeight="1" x14ac:dyDescent="0.2"/>
    <row r="94" spans="2:31" ht="18" hidden="1" customHeight="1" x14ac:dyDescent="0.2">
      <c r="J94" s="660"/>
      <c r="K94" s="660"/>
      <c r="L94" s="660"/>
      <c r="M94" s="660"/>
      <c r="N94" s="660"/>
      <c r="O94" s="660"/>
      <c r="P94" s="660"/>
      <c r="Q94" s="660"/>
      <c r="R94" s="660"/>
      <c r="S94" s="660"/>
      <c r="T94" s="660"/>
      <c r="U94" s="660"/>
      <c r="V94" s="660"/>
      <c r="W94" s="660"/>
    </row>
    <row r="95" spans="2:31" ht="18" hidden="1" customHeight="1" x14ac:dyDescent="0.2"/>
    <row r="96" spans="2:31" ht="18" hidden="1" customHeight="1" x14ac:dyDescent="0.25">
      <c r="Y96" s="112"/>
      <c r="Z96" s="112"/>
      <c r="AA96" s="112"/>
    </row>
    <row r="97" spans="3:27" ht="18" hidden="1" customHeight="1" x14ac:dyDescent="0.25">
      <c r="Y97" s="112"/>
      <c r="Z97" s="112"/>
      <c r="AA97" s="112"/>
    </row>
    <row r="98" spans="3:27" ht="18" hidden="1" customHeight="1" x14ac:dyDescent="0.25">
      <c r="Y98" s="112"/>
      <c r="Z98" s="112"/>
      <c r="AA98" s="112"/>
    </row>
    <row r="99" spans="3:27" ht="18" hidden="1" customHeight="1" x14ac:dyDescent="0.25">
      <c r="Y99" s="112"/>
      <c r="Z99" s="112"/>
      <c r="AA99" s="112"/>
    </row>
    <row r="100" spans="3:27" ht="18" hidden="1" customHeight="1" x14ac:dyDescent="0.25">
      <c r="Y100" s="112"/>
      <c r="Z100" s="112"/>
      <c r="AA100" s="112"/>
    </row>
    <row r="101" spans="3:27" ht="18" hidden="1" customHeight="1" x14ac:dyDescent="0.2"/>
    <row r="102" spans="3:27" ht="18" hidden="1" customHeight="1" x14ac:dyDescent="0.2">
      <c r="J102" s="660"/>
      <c r="K102" s="660"/>
      <c r="L102" s="660"/>
      <c r="M102" s="660"/>
      <c r="N102" s="660"/>
      <c r="O102" s="660"/>
      <c r="P102" s="660"/>
      <c r="Q102" s="660"/>
      <c r="R102" s="660"/>
      <c r="S102" s="660"/>
      <c r="T102" s="660"/>
      <c r="U102" s="660"/>
      <c r="V102" s="660"/>
      <c r="W102" s="660"/>
    </row>
    <row r="103" spans="3:27" ht="18" hidden="1" customHeight="1" x14ac:dyDescent="0.2"/>
    <row r="104" spans="3:27" ht="18" hidden="1" customHeight="1" x14ac:dyDescent="0.2"/>
    <row r="105" spans="3:27" ht="18" hidden="1" customHeight="1" x14ac:dyDescent="0.2"/>
    <row r="106" spans="3:27" ht="18" hidden="1" customHeight="1" x14ac:dyDescent="0.25">
      <c r="C106" s="204"/>
    </row>
    <row r="107" spans="3:27" ht="18" hidden="1" customHeight="1" x14ac:dyDescent="0.2">
      <c r="E107" s="270"/>
    </row>
    <row r="108" spans="3:27" ht="18" hidden="1" customHeight="1" x14ac:dyDescent="0.2"/>
    <row r="109" spans="3:27" ht="18" hidden="1" customHeight="1" x14ac:dyDescent="0.2"/>
    <row r="110" spans="3:27" ht="18" hidden="1" customHeight="1" x14ac:dyDescent="0.2"/>
    <row r="111" spans="3:27" ht="18" hidden="1" customHeight="1" x14ac:dyDescent="0.2"/>
    <row r="112" spans="3:27" ht="18" hidden="1" customHeight="1" x14ac:dyDescent="0.2"/>
    <row r="113" ht="18" hidden="1" customHeight="1" x14ac:dyDescent="0.2"/>
    <row r="114" ht="18" hidden="1" customHeight="1" x14ac:dyDescent="0.2"/>
    <row r="115" ht="18" hidden="1" customHeight="1" x14ac:dyDescent="0.2"/>
    <row r="116" ht="18" hidden="1" customHeight="1" x14ac:dyDescent="0.2"/>
    <row r="117" ht="18" hidden="1" customHeight="1" x14ac:dyDescent="0.2"/>
    <row r="118" ht="18" hidden="1" customHeight="1" x14ac:dyDescent="0.2"/>
    <row r="119" ht="18" hidden="1" customHeight="1" x14ac:dyDescent="0.2"/>
    <row r="120" ht="18" hidden="1" customHeight="1" x14ac:dyDescent="0.2"/>
    <row r="121" ht="18" hidden="1" customHeight="1" x14ac:dyDescent="0.2"/>
    <row r="122" ht="18" hidden="1" customHeight="1" x14ac:dyDescent="0.2"/>
    <row r="123" ht="18" hidden="1" customHeight="1" x14ac:dyDescent="0.2"/>
    <row r="124" ht="18" hidden="1" customHeight="1" x14ac:dyDescent="0.2"/>
    <row r="125" ht="18" hidden="1" customHeight="1" x14ac:dyDescent="0.2"/>
    <row r="126" ht="18" hidden="1" customHeight="1" x14ac:dyDescent="0.2"/>
    <row r="127" ht="18" hidden="1" customHeight="1" x14ac:dyDescent="0.2"/>
    <row r="128" ht="18" hidden="1" customHeight="1" x14ac:dyDescent="0.2"/>
    <row r="129" ht="18" hidden="1" customHeight="1" x14ac:dyDescent="0.2"/>
    <row r="130" ht="18" hidden="1" customHeight="1" x14ac:dyDescent="0.2"/>
    <row r="131" ht="18" hidden="1" customHeight="1" x14ac:dyDescent="0.2"/>
    <row r="132" ht="18" hidden="1" customHeight="1" x14ac:dyDescent="0.2"/>
    <row r="133" ht="18" hidden="1" customHeight="1" x14ac:dyDescent="0.2"/>
    <row r="134" ht="18" hidden="1" customHeight="1" x14ac:dyDescent="0.2"/>
    <row r="135" ht="18" hidden="1" customHeight="1" x14ac:dyDescent="0.2"/>
    <row r="136" ht="18" hidden="1" customHeight="1" x14ac:dyDescent="0.2"/>
    <row r="137" ht="18" hidden="1" customHeight="1" x14ac:dyDescent="0.2"/>
    <row r="138" ht="18" hidden="1" customHeight="1" x14ac:dyDescent="0.2"/>
    <row r="139" ht="18" hidden="1" customHeight="1" x14ac:dyDescent="0.2"/>
    <row r="140" ht="18" hidden="1" customHeight="1" x14ac:dyDescent="0.2"/>
    <row r="141" ht="18" hidden="1" customHeight="1" x14ac:dyDescent="0.2"/>
    <row r="142" ht="18" hidden="1" customHeight="1" x14ac:dyDescent="0.2"/>
    <row r="143" ht="18" hidden="1" customHeight="1" x14ac:dyDescent="0.2"/>
    <row r="144" ht="18" hidden="1" customHeight="1" x14ac:dyDescent="0.2"/>
    <row r="145" ht="18" hidden="1" customHeight="1" x14ac:dyDescent="0.2"/>
    <row r="146" ht="18" hidden="1" customHeight="1" x14ac:dyDescent="0.2"/>
    <row r="147" ht="18" hidden="1" customHeight="1" x14ac:dyDescent="0.2"/>
    <row r="148" ht="18" hidden="1" customHeight="1" x14ac:dyDescent="0.2"/>
    <row r="149" ht="18" hidden="1" customHeight="1" x14ac:dyDescent="0.2"/>
    <row r="150" ht="18" hidden="1" customHeight="1" x14ac:dyDescent="0.2"/>
    <row r="151" ht="18" hidden="1" customHeight="1" x14ac:dyDescent="0.2"/>
    <row r="152" ht="18" hidden="1" customHeight="1" x14ac:dyDescent="0.2"/>
    <row r="153" ht="18" hidden="1" customHeight="1" x14ac:dyDescent="0.2"/>
    <row r="154" ht="18" hidden="1" customHeight="1" x14ac:dyDescent="0.2"/>
    <row r="155" ht="18" hidden="1" customHeight="1" x14ac:dyDescent="0.2"/>
    <row r="156" ht="18" hidden="1" customHeight="1" x14ac:dyDescent="0.2"/>
    <row r="157" ht="18" hidden="1" customHeight="1" x14ac:dyDescent="0.2"/>
    <row r="158" ht="18" hidden="1" customHeight="1" x14ac:dyDescent="0.2"/>
    <row r="159" ht="18" hidden="1" customHeight="1" x14ac:dyDescent="0.2"/>
    <row r="160" ht="18" hidden="1" customHeight="1" x14ac:dyDescent="0.2"/>
    <row r="161" ht="18" hidden="1" customHeight="1" x14ac:dyDescent="0.2"/>
    <row r="162" ht="18" hidden="1" customHeight="1" x14ac:dyDescent="0.2"/>
    <row r="163" ht="18" hidden="1" customHeight="1" x14ac:dyDescent="0.2"/>
    <row r="164" ht="18" hidden="1" customHeight="1" x14ac:dyDescent="0.2"/>
    <row r="165" ht="18" hidden="1" customHeight="1" x14ac:dyDescent="0.2"/>
    <row r="166" ht="18" hidden="1" customHeight="1" x14ac:dyDescent="0.2"/>
    <row r="167" ht="18" hidden="1" customHeight="1" x14ac:dyDescent="0.2"/>
    <row r="168" ht="18" hidden="1" customHeight="1" x14ac:dyDescent="0.2"/>
    <row r="169" ht="18" hidden="1" customHeight="1" x14ac:dyDescent="0.2"/>
    <row r="170" ht="18" hidden="1" customHeight="1" x14ac:dyDescent="0.2"/>
    <row r="171" ht="18" hidden="1" customHeight="1" x14ac:dyDescent="0.2"/>
    <row r="172" ht="18" hidden="1" customHeight="1" x14ac:dyDescent="0.2"/>
    <row r="173" ht="18" hidden="1" customHeight="1" x14ac:dyDescent="0.2"/>
    <row r="174" ht="18" hidden="1" customHeight="1" x14ac:dyDescent="0.2"/>
    <row r="175" ht="18" hidden="1" customHeight="1" x14ac:dyDescent="0.2"/>
    <row r="176" ht="18" hidden="1" customHeight="1" x14ac:dyDescent="0.2"/>
    <row r="177" ht="18" hidden="1" customHeight="1" x14ac:dyDescent="0.2"/>
    <row r="178" ht="18" hidden="1" customHeight="1" x14ac:dyDescent="0.2"/>
    <row r="179" ht="18" hidden="1" customHeight="1" x14ac:dyDescent="0.2"/>
    <row r="180" ht="18" hidden="1" customHeight="1" x14ac:dyDescent="0.2"/>
    <row r="181" ht="18" hidden="1" customHeight="1" x14ac:dyDescent="0.2"/>
    <row r="182" ht="18" hidden="1" customHeight="1" x14ac:dyDescent="0.2"/>
    <row r="183" ht="18" hidden="1" customHeight="1" x14ac:dyDescent="0.2"/>
    <row r="184" ht="18" hidden="1" customHeight="1" x14ac:dyDescent="0.2"/>
    <row r="185" ht="18" hidden="1" customHeight="1" x14ac:dyDescent="0.2"/>
    <row r="186" ht="18" hidden="1" customHeight="1" x14ac:dyDescent="0.2"/>
    <row r="187" ht="18" hidden="1" customHeight="1" x14ac:dyDescent="0.2"/>
    <row r="188" ht="18" hidden="1" customHeight="1" x14ac:dyDescent="0.2"/>
    <row r="189" ht="18" hidden="1" customHeight="1" x14ac:dyDescent="0.2"/>
    <row r="190" ht="18" hidden="1" customHeight="1" x14ac:dyDescent="0.2"/>
    <row r="191" ht="18" hidden="1" customHeight="1" x14ac:dyDescent="0.2"/>
    <row r="192" ht="18" hidden="1" customHeight="1" x14ac:dyDescent="0.2"/>
    <row r="193" ht="18" hidden="1" customHeight="1" x14ac:dyDescent="0.2"/>
    <row r="194" ht="18" hidden="1" customHeight="1" x14ac:dyDescent="0.2"/>
    <row r="195" ht="18" hidden="1" customHeight="1" x14ac:dyDescent="0.2"/>
    <row r="196" ht="18" hidden="1" customHeight="1" x14ac:dyDescent="0.2"/>
    <row r="197" ht="18" hidden="1" customHeight="1" x14ac:dyDescent="0.2"/>
    <row r="198" ht="18" hidden="1" customHeight="1" x14ac:dyDescent="0.2"/>
    <row r="199" ht="18" hidden="1" customHeight="1" x14ac:dyDescent="0.2"/>
    <row r="200" ht="18" hidden="1" customHeight="1" x14ac:dyDescent="0.2"/>
    <row r="201" ht="18" hidden="1" customHeight="1" x14ac:dyDescent="0.2"/>
    <row r="202" ht="18" hidden="1" customHeight="1" x14ac:dyDescent="0.2"/>
    <row r="203" ht="18" hidden="1" customHeight="1" x14ac:dyDescent="0.2"/>
    <row r="204" ht="18" hidden="1" customHeight="1" x14ac:dyDescent="0.2"/>
    <row r="205" ht="18" hidden="1" customHeight="1" x14ac:dyDescent="0.2"/>
    <row r="206" ht="18" hidden="1" customHeight="1" x14ac:dyDescent="0.2"/>
    <row r="207" ht="18" hidden="1" customHeight="1" x14ac:dyDescent="0.2"/>
    <row r="208" ht="18" hidden="1" customHeight="1" x14ac:dyDescent="0.2"/>
    <row r="209" ht="18" hidden="1" customHeight="1" x14ac:dyDescent="0.2"/>
    <row r="210" ht="18" hidden="1" customHeight="1" x14ac:dyDescent="0.2"/>
    <row r="211" ht="18" hidden="1" customHeight="1" x14ac:dyDescent="0.2"/>
    <row r="212" ht="18" hidden="1" customHeight="1" x14ac:dyDescent="0.2"/>
    <row r="213" ht="18" hidden="1" customHeight="1" x14ac:dyDescent="0.2"/>
    <row r="214" ht="18" hidden="1" customHeight="1" x14ac:dyDescent="0.2"/>
    <row r="215" ht="18" hidden="1" customHeight="1" x14ac:dyDescent="0.2"/>
    <row r="216" ht="18" hidden="1" customHeight="1" x14ac:dyDescent="0.2"/>
    <row r="217" ht="18" hidden="1" customHeight="1" x14ac:dyDescent="0.2"/>
    <row r="218" ht="18" hidden="1" customHeight="1" x14ac:dyDescent="0.2"/>
    <row r="219" ht="18" hidden="1" customHeight="1" x14ac:dyDescent="0.2"/>
    <row r="220" ht="18" hidden="1" customHeight="1" x14ac:dyDescent="0.2"/>
    <row r="221" ht="18" hidden="1" customHeight="1" x14ac:dyDescent="0.2"/>
    <row r="222" ht="18" hidden="1" customHeight="1" x14ac:dyDescent="0.2"/>
    <row r="223" ht="18" hidden="1" customHeight="1" x14ac:dyDescent="0.2"/>
    <row r="224" ht="18" hidden="1" customHeight="1" x14ac:dyDescent="0.2"/>
    <row r="225" ht="18" hidden="1" customHeight="1" x14ac:dyDescent="0.2"/>
    <row r="226" ht="18" hidden="1" customHeight="1" x14ac:dyDescent="0.2"/>
    <row r="227" ht="18" hidden="1" customHeight="1" x14ac:dyDescent="0.2"/>
    <row r="228" ht="18" hidden="1" customHeight="1" x14ac:dyDescent="0.2"/>
    <row r="229" ht="18" hidden="1" customHeight="1" x14ac:dyDescent="0.2"/>
    <row r="230" ht="18" hidden="1" customHeight="1" x14ac:dyDescent="0.2"/>
    <row r="231" ht="18" hidden="1" customHeight="1" x14ac:dyDescent="0.2"/>
    <row r="232" ht="18" hidden="1" customHeight="1" x14ac:dyDescent="0.2"/>
    <row r="233" ht="18" hidden="1" customHeight="1" x14ac:dyDescent="0.2"/>
    <row r="234" ht="18" hidden="1" customHeight="1" x14ac:dyDescent="0.2"/>
    <row r="235" ht="18" hidden="1" customHeight="1" x14ac:dyDescent="0.2"/>
    <row r="236" ht="18" hidden="1" customHeight="1" x14ac:dyDescent="0.2"/>
    <row r="237" ht="18" hidden="1" customHeight="1" x14ac:dyDescent="0.2"/>
    <row r="238" ht="18" hidden="1" customHeight="1" x14ac:dyDescent="0.2"/>
    <row r="239" ht="18" hidden="1" customHeight="1" x14ac:dyDescent="0.2"/>
    <row r="240" ht="18" hidden="1" customHeight="1" x14ac:dyDescent="0.2"/>
    <row r="241" ht="18" hidden="1" customHeight="1" x14ac:dyDescent="0.2"/>
    <row r="242" ht="18" hidden="1" customHeight="1" x14ac:dyDescent="0.2"/>
    <row r="243" ht="18" hidden="1" customHeight="1" x14ac:dyDescent="0.2"/>
    <row r="244" ht="18" hidden="1" customHeight="1" x14ac:dyDescent="0.2"/>
    <row r="245" ht="18" hidden="1" customHeight="1" x14ac:dyDescent="0.2"/>
    <row r="246" ht="18" hidden="1" customHeight="1" x14ac:dyDescent="0.2"/>
    <row r="247" ht="18" hidden="1" customHeight="1" x14ac:dyDescent="0.2"/>
    <row r="248" ht="18" hidden="1" customHeight="1" x14ac:dyDescent="0.2"/>
    <row r="249" ht="18" hidden="1" customHeight="1" x14ac:dyDescent="0.2"/>
    <row r="250" ht="18" hidden="1" customHeight="1" x14ac:dyDescent="0.2"/>
    <row r="251" ht="18" hidden="1" customHeight="1" x14ac:dyDescent="0.2"/>
    <row r="252" ht="18" hidden="1" customHeight="1" x14ac:dyDescent="0.2"/>
    <row r="253" ht="18" hidden="1" customHeight="1" x14ac:dyDescent="0.2"/>
    <row r="254" ht="18" hidden="1" customHeight="1" x14ac:dyDescent="0.2"/>
    <row r="255" ht="18" hidden="1" customHeight="1" x14ac:dyDescent="0.2"/>
    <row r="256" ht="18" hidden="1" customHeight="1" x14ac:dyDescent="0.2"/>
    <row r="257" ht="18" hidden="1" customHeight="1" x14ac:dyDescent="0.2"/>
    <row r="258" ht="18" hidden="1" customHeight="1" x14ac:dyDescent="0.2"/>
    <row r="259" ht="18" hidden="1" customHeight="1" x14ac:dyDescent="0.2"/>
    <row r="260" ht="18" hidden="1" customHeight="1" x14ac:dyDescent="0.2"/>
    <row r="261" ht="18" hidden="1" customHeight="1" x14ac:dyDescent="0.2"/>
    <row r="262" ht="18" hidden="1" customHeight="1" x14ac:dyDescent="0.2"/>
    <row r="263" ht="18" hidden="1" customHeight="1" x14ac:dyDescent="0.2"/>
    <row r="264" ht="18" hidden="1" customHeight="1" x14ac:dyDescent="0.2"/>
    <row r="265" ht="18" hidden="1" customHeight="1" x14ac:dyDescent="0.2"/>
    <row r="266" ht="18" hidden="1" customHeight="1" x14ac:dyDescent="0.2"/>
    <row r="267" ht="18" hidden="1" customHeight="1" x14ac:dyDescent="0.2"/>
    <row r="268" ht="18" hidden="1" customHeight="1" x14ac:dyDescent="0.2"/>
    <row r="269" ht="18" hidden="1" customHeight="1" x14ac:dyDescent="0.2"/>
    <row r="270" ht="18" hidden="1" customHeight="1" x14ac:dyDescent="0.2"/>
    <row r="271" ht="18" hidden="1" customHeight="1" x14ac:dyDescent="0.2"/>
    <row r="272" ht="18" hidden="1" customHeight="1" x14ac:dyDescent="0.2"/>
    <row r="273" ht="18" hidden="1" customHeight="1" x14ac:dyDescent="0.2"/>
    <row r="274" ht="18" hidden="1" customHeight="1" x14ac:dyDescent="0.2"/>
    <row r="275" ht="18" hidden="1" customHeight="1" x14ac:dyDescent="0.2"/>
    <row r="276" ht="18" hidden="1" customHeight="1" x14ac:dyDescent="0.2"/>
    <row r="277" ht="18" hidden="1" customHeight="1" x14ac:dyDescent="0.2"/>
    <row r="278" ht="18" hidden="1" customHeight="1" x14ac:dyDescent="0.2"/>
    <row r="279" ht="18" hidden="1" customHeight="1" x14ac:dyDescent="0.2"/>
    <row r="280" ht="18" hidden="1" customHeight="1" x14ac:dyDescent="0.2"/>
    <row r="281" ht="18" hidden="1" customHeight="1" x14ac:dyDescent="0.2"/>
    <row r="282" ht="18" hidden="1" customHeight="1" x14ac:dyDescent="0.2"/>
    <row r="283" ht="18" hidden="1" customHeight="1" x14ac:dyDescent="0.2"/>
    <row r="284" ht="18" hidden="1" customHeight="1" x14ac:dyDescent="0.2"/>
    <row r="285" ht="18" hidden="1" customHeight="1" x14ac:dyDescent="0.2"/>
    <row r="286" ht="18" hidden="1" customHeight="1" x14ac:dyDescent="0.2"/>
    <row r="287" ht="18" hidden="1" customHeight="1" x14ac:dyDescent="0.2"/>
    <row r="288" ht="18" hidden="1" customHeight="1" x14ac:dyDescent="0.2"/>
    <row r="289" ht="18" hidden="1" customHeight="1" x14ac:dyDescent="0.2"/>
    <row r="290" ht="18" hidden="1" customHeight="1" x14ac:dyDescent="0.2"/>
    <row r="291" ht="18" hidden="1" customHeight="1" x14ac:dyDescent="0.2"/>
    <row r="292" ht="18" hidden="1" customHeight="1" x14ac:dyDescent="0.2"/>
    <row r="293" ht="18" hidden="1" customHeight="1" x14ac:dyDescent="0.2"/>
    <row r="294" ht="18" hidden="1" customHeight="1" x14ac:dyDescent="0.2"/>
    <row r="295" ht="18" hidden="1" customHeight="1" x14ac:dyDescent="0.2"/>
    <row r="296" ht="18" hidden="1" customHeight="1" x14ac:dyDescent="0.2"/>
    <row r="297" ht="18" hidden="1" customHeight="1" x14ac:dyDescent="0.2"/>
    <row r="298" ht="18" hidden="1" customHeight="1" x14ac:dyDescent="0.2"/>
    <row r="299" ht="18" hidden="1" customHeight="1" x14ac:dyDescent="0.2"/>
    <row r="300" ht="18" hidden="1" customHeight="1" x14ac:dyDescent="0.2"/>
    <row r="301" ht="18" hidden="1" customHeight="1" x14ac:dyDescent="0.2"/>
    <row r="302" ht="18" hidden="1" customHeight="1" x14ac:dyDescent="0.2"/>
    <row r="303" ht="18" hidden="1" customHeight="1" x14ac:dyDescent="0.2"/>
    <row r="304" ht="18" hidden="1" customHeight="1" x14ac:dyDescent="0.2"/>
    <row r="305" ht="18" hidden="1" customHeight="1" x14ac:dyDescent="0.2"/>
    <row r="306" ht="18" hidden="1" customHeight="1" x14ac:dyDescent="0.2"/>
    <row r="307" ht="18" hidden="1" customHeight="1" x14ac:dyDescent="0.2"/>
    <row r="308" ht="18" hidden="1" customHeight="1" x14ac:dyDescent="0.2"/>
    <row r="309" ht="18" hidden="1" customHeight="1" x14ac:dyDescent="0.2"/>
    <row r="310" ht="18" hidden="1" customHeight="1" x14ac:dyDescent="0.2"/>
    <row r="311" ht="18" hidden="1" customHeight="1" x14ac:dyDescent="0.2"/>
    <row r="312" ht="18" hidden="1" customHeight="1" x14ac:dyDescent="0.2"/>
    <row r="313" ht="18" hidden="1" customHeight="1" x14ac:dyDescent="0.2"/>
    <row r="314" ht="18" hidden="1" customHeight="1" x14ac:dyDescent="0.2"/>
    <row r="315" ht="18" hidden="1" customHeight="1" x14ac:dyDescent="0.2"/>
    <row r="316" ht="18" hidden="1" customHeight="1" x14ac:dyDescent="0.2"/>
    <row r="317" ht="18" hidden="1" customHeight="1" x14ac:dyDescent="0.2"/>
    <row r="318" ht="18" hidden="1" customHeight="1" x14ac:dyDescent="0.2"/>
    <row r="319" ht="18" hidden="1" customHeight="1" x14ac:dyDescent="0.2"/>
    <row r="320" ht="18" hidden="1" customHeight="1" x14ac:dyDescent="0.2"/>
    <row r="321" ht="18" hidden="1" customHeight="1" x14ac:dyDescent="0.2"/>
    <row r="322" ht="18" hidden="1" customHeight="1" x14ac:dyDescent="0.2"/>
    <row r="323" ht="18" hidden="1" customHeight="1" x14ac:dyDescent="0.2"/>
    <row r="324" ht="18" hidden="1" customHeight="1" x14ac:dyDescent="0.2"/>
    <row r="325" ht="18" hidden="1" customHeight="1" x14ac:dyDescent="0.2"/>
    <row r="326" ht="18" hidden="1" customHeight="1" x14ac:dyDescent="0.2"/>
    <row r="327" ht="18" hidden="1" customHeight="1" x14ac:dyDescent="0.2"/>
    <row r="328" ht="18" hidden="1" customHeight="1" x14ac:dyDescent="0.2"/>
    <row r="329" ht="18" hidden="1" customHeight="1" x14ac:dyDescent="0.2"/>
    <row r="330" ht="18" hidden="1" customHeight="1" x14ac:dyDescent="0.2"/>
    <row r="331" ht="18" hidden="1" customHeight="1" x14ac:dyDescent="0.2"/>
    <row r="332" ht="18" hidden="1" customHeight="1" x14ac:dyDescent="0.2"/>
    <row r="333" ht="18" hidden="1" customHeight="1" x14ac:dyDescent="0.2"/>
    <row r="334" ht="18" hidden="1" customHeight="1" x14ac:dyDescent="0.2"/>
    <row r="335" ht="18" hidden="1" customHeight="1" x14ac:dyDescent="0.2"/>
    <row r="336" ht="18" hidden="1" customHeight="1" x14ac:dyDescent="0.2"/>
    <row r="337" ht="18" hidden="1" customHeight="1" x14ac:dyDescent="0.2"/>
    <row r="338" ht="18" hidden="1" customHeight="1" x14ac:dyDescent="0.2"/>
    <row r="339" ht="18" hidden="1" customHeight="1" x14ac:dyDescent="0.2"/>
    <row r="340" ht="18" hidden="1" customHeight="1" x14ac:dyDescent="0.2"/>
    <row r="341" ht="18" hidden="1" customHeight="1" x14ac:dyDescent="0.2"/>
    <row r="342" ht="18" hidden="1" customHeight="1" x14ac:dyDescent="0.2"/>
    <row r="343" ht="18" hidden="1" customHeight="1" x14ac:dyDescent="0.2"/>
    <row r="344" ht="18" hidden="1" customHeight="1" x14ac:dyDescent="0.2"/>
    <row r="345" ht="18" hidden="1" customHeight="1" x14ac:dyDescent="0.2"/>
    <row r="346" ht="18" hidden="1" customHeight="1" x14ac:dyDescent="0.2"/>
    <row r="347" ht="18" hidden="1" customHeight="1" x14ac:dyDescent="0.2"/>
    <row r="348" ht="18" hidden="1" customHeight="1" x14ac:dyDescent="0.2"/>
    <row r="349" ht="18" hidden="1" customHeight="1" x14ac:dyDescent="0.2"/>
    <row r="350" ht="18" hidden="1" customHeight="1" x14ac:dyDescent="0.2"/>
    <row r="351" ht="18" hidden="1" customHeight="1" x14ac:dyDescent="0.2"/>
    <row r="352" ht="18" hidden="1" customHeight="1" x14ac:dyDescent="0.2"/>
    <row r="353" ht="18" hidden="1" customHeight="1" x14ac:dyDescent="0.2"/>
    <row r="354" ht="18" hidden="1" customHeight="1" x14ac:dyDescent="0.2"/>
    <row r="355" ht="18" hidden="1" customHeight="1" x14ac:dyDescent="0.2"/>
    <row r="356" ht="18" hidden="1" customHeight="1" x14ac:dyDescent="0.2"/>
    <row r="357" ht="18" hidden="1" customHeight="1" x14ac:dyDescent="0.2"/>
    <row r="358" ht="18" hidden="1" customHeight="1" x14ac:dyDescent="0.2"/>
    <row r="359" ht="18" hidden="1" customHeight="1" x14ac:dyDescent="0.2"/>
    <row r="360" ht="18" hidden="1" customHeight="1" x14ac:dyDescent="0.2"/>
    <row r="361" ht="18" hidden="1" customHeight="1" x14ac:dyDescent="0.2"/>
    <row r="362" ht="18" hidden="1" customHeight="1" x14ac:dyDescent="0.2"/>
    <row r="363" ht="18" hidden="1" customHeight="1" x14ac:dyDescent="0.2"/>
    <row r="364" ht="18" hidden="1" customHeight="1" x14ac:dyDescent="0.2"/>
    <row r="365" ht="18" hidden="1" customHeight="1" x14ac:dyDescent="0.2"/>
    <row r="366" ht="18" hidden="1" customHeight="1" x14ac:dyDescent="0.2"/>
    <row r="367" ht="18" hidden="1" customHeight="1" x14ac:dyDescent="0.2"/>
    <row r="368" ht="18" hidden="1" customHeight="1" x14ac:dyDescent="0.2"/>
    <row r="369" ht="18" hidden="1" customHeight="1" x14ac:dyDescent="0.2"/>
    <row r="370" ht="18" hidden="1" customHeight="1" x14ac:dyDescent="0.2"/>
    <row r="371" ht="18" hidden="1" customHeight="1" x14ac:dyDescent="0.2"/>
    <row r="372" ht="18" hidden="1" customHeight="1" x14ac:dyDescent="0.2"/>
    <row r="373" ht="18" hidden="1" customHeight="1" x14ac:dyDescent="0.2"/>
    <row r="374" ht="18" hidden="1" customHeight="1" x14ac:dyDescent="0.2"/>
    <row r="375" ht="18" hidden="1" customHeight="1" x14ac:dyDescent="0.2"/>
    <row r="376" ht="18" hidden="1" customHeight="1" x14ac:dyDescent="0.2"/>
  </sheetData>
  <sheetProtection password="D65F" sheet="1" objects="1" scenarios="1"/>
  <mergeCells count="71">
    <mergeCell ref="C18:D18"/>
    <mergeCell ref="C19:D19"/>
    <mergeCell ref="C22:D22"/>
    <mergeCell ref="L20:M20"/>
    <mergeCell ref="L21:N21"/>
    <mergeCell ref="L18:M18"/>
    <mergeCell ref="L19:M19"/>
    <mergeCell ref="C21:D21"/>
    <mergeCell ref="W2:W4"/>
    <mergeCell ref="C13:H14"/>
    <mergeCell ref="F16:H16"/>
    <mergeCell ref="L13:O14"/>
    <mergeCell ref="C16:D17"/>
    <mergeCell ref="S59:W59"/>
    <mergeCell ref="S58:W58"/>
    <mergeCell ref="S46:W46"/>
    <mergeCell ref="S41:W41"/>
    <mergeCell ref="S42:W42"/>
    <mergeCell ref="S43:W43"/>
    <mergeCell ref="S62:T62"/>
    <mergeCell ref="S44:U44"/>
    <mergeCell ref="S36:U36"/>
    <mergeCell ref="B56:I57"/>
    <mergeCell ref="S14:S19"/>
    <mergeCell ref="S37:W37"/>
    <mergeCell ref="S45:W45"/>
    <mergeCell ref="S53:W53"/>
    <mergeCell ref="S54:W54"/>
    <mergeCell ref="S55:W55"/>
    <mergeCell ref="S56:W56"/>
    <mergeCell ref="S57:W57"/>
    <mergeCell ref="S47:W47"/>
    <mergeCell ref="S48:W48"/>
    <mergeCell ref="S49:W49"/>
    <mergeCell ref="S50:W50"/>
    <mergeCell ref="S27:W27"/>
    <mergeCell ref="S30:W30"/>
    <mergeCell ref="S31:W31"/>
    <mergeCell ref="S51:W51"/>
    <mergeCell ref="S40:W40"/>
    <mergeCell ref="S28:W28"/>
    <mergeCell ref="S29:W29"/>
    <mergeCell ref="S34:W34"/>
    <mergeCell ref="S35:W35"/>
    <mergeCell ref="S38:W38"/>
    <mergeCell ref="S39:W39"/>
    <mergeCell ref="S32:W32"/>
    <mergeCell ref="S33:W33"/>
    <mergeCell ref="C23:D23"/>
    <mergeCell ref="C24:D24"/>
    <mergeCell ref="C25:D25"/>
    <mergeCell ref="C26:D26"/>
    <mergeCell ref="C27:D27"/>
    <mergeCell ref="C32:D32"/>
    <mergeCell ref="C33:D33"/>
    <mergeCell ref="C34:D34"/>
    <mergeCell ref="C35:E35"/>
    <mergeCell ref="C37:E37"/>
    <mergeCell ref="H51:H52"/>
    <mergeCell ref="C42:E42"/>
    <mergeCell ref="L41:M41"/>
    <mergeCell ref="L36:N36"/>
    <mergeCell ref="L39:M39"/>
    <mergeCell ref="L40:M40"/>
    <mergeCell ref="L42:M42"/>
    <mergeCell ref="C38:E38"/>
    <mergeCell ref="C39:E39"/>
    <mergeCell ref="C40:E40"/>
    <mergeCell ref="L44:M44"/>
    <mergeCell ref="C43:E43"/>
    <mergeCell ref="C44:E44"/>
  </mergeCells>
  <conditionalFormatting sqref="F43">
    <cfRule type="expression" dxfId="195" priority="99">
      <formula>IF(ISERROR(F43),TRUE,FALSE)</formula>
    </cfRule>
  </conditionalFormatting>
  <conditionalFormatting sqref="G43">
    <cfRule type="expression" dxfId="194" priority="98">
      <formula>IF(ISERROR(G43),TRUE,FALSE)</formula>
    </cfRule>
  </conditionalFormatting>
  <conditionalFormatting sqref="H43">
    <cfRule type="expression" dxfId="193" priority="97">
      <formula>IF(ISERROR(H43),TRUE,FALSE)</formula>
    </cfRule>
  </conditionalFormatting>
  <conditionalFormatting sqref="F44">
    <cfRule type="expression" dxfId="192" priority="88">
      <formula>IF(ISERROR(F43)=TRUE,TRUE,FALSE)</formula>
    </cfRule>
    <cfRule type="expression" dxfId="191" priority="89">
      <formula>IF(F43&lt;=Gut,TRUE,FALSE)</formula>
    </cfRule>
    <cfRule type="expression" dxfId="190" priority="90">
      <formula>IF(F43&lt;=Potential,TRUE,FALSE)</formula>
    </cfRule>
    <cfRule type="expression" dxfId="189" priority="91">
      <formula>IF(F43&gt;Potential,TRUE,FALSE)</formula>
    </cfRule>
  </conditionalFormatting>
  <conditionalFormatting sqref="G44">
    <cfRule type="expression" dxfId="188" priority="76">
      <formula>IF(ISERROR(G43)=TRUE,TRUE,FALSE)</formula>
    </cfRule>
    <cfRule type="expression" dxfId="187" priority="77">
      <formula>IF(G43&lt;=Gut,TRUE,FALSE)</formula>
    </cfRule>
    <cfRule type="expression" dxfId="186" priority="78">
      <formula>IF(G43&lt;=Potential,TRUE,FALSE)</formula>
    </cfRule>
    <cfRule type="expression" dxfId="185" priority="79">
      <formula>IF(G43&gt;Potential,TRUE,FALSE)</formula>
    </cfRule>
  </conditionalFormatting>
  <conditionalFormatting sqref="H44">
    <cfRule type="expression" dxfId="184" priority="72">
      <formula>IF(ISERROR(H43)=TRUE,TRUE,FALSE)</formula>
    </cfRule>
    <cfRule type="expression" dxfId="183" priority="73">
      <formula>IF(H43&lt;=Gut,TRUE,FALSE)</formula>
    </cfRule>
    <cfRule type="expression" dxfId="182" priority="74">
      <formula>IF(H43&lt;=Potential,TRUE,FALSE)</formula>
    </cfRule>
    <cfRule type="expression" dxfId="181" priority="75">
      <formula>IF(H43&gt;Potential,TRUE,FALSE)</formula>
    </cfRule>
  </conditionalFormatting>
  <conditionalFormatting sqref="O23">
    <cfRule type="expression" dxfId="180" priority="60">
      <formula>IF(ISERROR(O22)=TRUE,TRUE,FALSE)</formula>
    </cfRule>
  </conditionalFormatting>
  <conditionalFormatting sqref="O23">
    <cfRule type="expression" dxfId="179" priority="61">
      <formula>IF(O22&lt;=Gut,TRUE,FALSE)</formula>
    </cfRule>
    <cfRule type="expression" dxfId="178" priority="62">
      <formula>IF(O22&lt;=Potential,TRUE,FALSE)</formula>
    </cfRule>
    <cfRule type="expression" dxfId="177" priority="63">
      <formula>IF(O22&gt;Potential,TRUE,FALSE)</formula>
    </cfRule>
  </conditionalFormatting>
  <conditionalFormatting sqref="O22">
    <cfRule type="expression" dxfId="176" priority="59">
      <formula>IF(ISERROR(O22),TRUE,FALSE)</formula>
    </cfRule>
  </conditionalFormatting>
  <conditionalFormatting sqref="E48">
    <cfRule type="expression" dxfId="175" priority="45">
      <formula>ISERROR(E48)</formula>
    </cfRule>
    <cfRule type="cellIs" dxfId="174" priority="46" operator="greaterThan">
      <formula>0</formula>
    </cfRule>
  </conditionalFormatting>
  <conditionalFormatting sqref="E49">
    <cfRule type="expression" dxfId="173" priority="43">
      <formula>ISERROR(E49)</formula>
    </cfRule>
    <cfRule type="cellIs" dxfId="172" priority="44" operator="greaterThan">
      <formula>0</formula>
    </cfRule>
  </conditionalFormatting>
  <conditionalFormatting sqref="G48">
    <cfRule type="expression" dxfId="171" priority="41">
      <formula>ISERROR(G48)</formula>
    </cfRule>
    <cfRule type="cellIs" dxfId="170" priority="42" operator="greaterThan">
      <formula>0</formula>
    </cfRule>
  </conditionalFormatting>
  <conditionalFormatting sqref="G49">
    <cfRule type="expression" dxfId="169" priority="33">
      <formula>ISERROR(G49)</formula>
    </cfRule>
    <cfRule type="cellIs" dxfId="168" priority="34" operator="greaterThan">
      <formula>0</formula>
    </cfRule>
  </conditionalFormatting>
  <conditionalFormatting sqref="M27">
    <cfRule type="expression" dxfId="167" priority="31">
      <formula>ISERROR(M27)</formula>
    </cfRule>
    <cfRule type="cellIs" dxfId="166" priority="32" operator="greaterThan">
      <formula>0</formula>
    </cfRule>
  </conditionalFormatting>
  <conditionalFormatting sqref="M28">
    <cfRule type="expression" dxfId="165" priority="29">
      <formula>ISERROR(M28)</formula>
    </cfRule>
    <cfRule type="cellIs" dxfId="164" priority="30" operator="greaterThan">
      <formula>0</formula>
    </cfRule>
  </conditionalFormatting>
  <conditionalFormatting sqref="O27">
    <cfRule type="expression" dxfId="163" priority="27">
      <formula>ISERROR(O27)</formula>
    </cfRule>
    <cfRule type="cellIs" dxfId="162" priority="28" operator="greaterThan">
      <formula>0</formula>
    </cfRule>
  </conditionalFormatting>
  <conditionalFormatting sqref="O28">
    <cfRule type="expression" dxfId="161" priority="25">
      <formula>ISERROR(O28)</formula>
    </cfRule>
    <cfRule type="cellIs" dxfId="160" priority="26" operator="greaterThan">
      <formula>0</formula>
    </cfRule>
  </conditionalFormatting>
  <conditionalFormatting sqref="N39">
    <cfRule type="expression" dxfId="159" priority="11">
      <formula>IF(F42&gt;0,TRUE,FALSE)</formula>
    </cfRule>
    <cfRule type="cellIs" dxfId="158" priority="21" operator="greaterThan">
      <formula>0</formula>
    </cfRule>
    <cfRule type="expression" dxfId="157" priority="24">
      <formula>ISERROR(N39)</formula>
    </cfRule>
  </conditionalFormatting>
  <conditionalFormatting sqref="N42">
    <cfRule type="expression" dxfId="156" priority="9">
      <formula>IF(O21&gt;0,TRUE,FALSE)</formula>
    </cfRule>
    <cfRule type="cellIs" dxfId="155" priority="20" operator="greaterThan">
      <formula>0</formula>
    </cfRule>
    <cfRule type="expression" dxfId="154" priority="23">
      <formula>ISERROR(N42)</formula>
    </cfRule>
  </conditionalFormatting>
  <conditionalFormatting sqref="N43">
    <cfRule type="expression" dxfId="153" priority="22">
      <formula>ISERROR(N43)</formula>
    </cfRule>
  </conditionalFormatting>
  <conditionalFormatting sqref="N40">
    <cfRule type="expression" dxfId="152" priority="10">
      <formula>IF(G42+H42&gt;0,TRUE,FALSE)</formula>
    </cfRule>
    <cfRule type="cellIs" dxfId="151" priority="17" operator="greaterThan">
      <formula>0</formula>
    </cfRule>
    <cfRule type="expression" dxfId="150" priority="18">
      <formula>ISERROR(N40)</formula>
    </cfRule>
  </conditionalFormatting>
  <conditionalFormatting sqref="L24">
    <cfRule type="expression" dxfId="149" priority="684">
      <formula>IF($AN$54/$AN$55&lt;0.5,TRUE,FALSE)</formula>
    </cfRule>
    <cfRule type="expression" dxfId="148" priority="685">
      <formula>IF($AK$53&gt;0,TRUE,FALSE)</formula>
    </cfRule>
  </conditionalFormatting>
  <conditionalFormatting sqref="L24">
    <cfRule type="expression" dxfId="147" priority="686">
      <formula>IF($AK$53&gt;Grün,TRUE,FALSE)</formula>
    </cfRule>
    <cfRule type="expression" dxfId="146" priority="687">
      <formula>IF($AK$53&gt;Rot,TRUE,FALSE)</formula>
    </cfRule>
  </conditionalFormatting>
  <conditionalFormatting sqref="S14">
    <cfRule type="expression" dxfId="145" priority="14">
      <formula>IF($AJ$57&gt;Grün,TRUE,FALSE)</formula>
    </cfRule>
    <cfRule type="expression" dxfId="144" priority="15">
      <formula>IF($AJ$57&gt;Rot,TRUE,FALSE)</formula>
    </cfRule>
    <cfRule type="expression" dxfId="143" priority="16">
      <formula>IF($AJ$57&gt;0,TRUE,FALSE)</formula>
    </cfRule>
  </conditionalFormatting>
  <conditionalFormatting sqref="G51">
    <cfRule type="expression" dxfId="142" priority="12">
      <formula>ISERROR(G51)</formula>
    </cfRule>
    <cfRule type="cellIs" dxfId="141" priority="13" operator="greaterThan">
      <formula>0</formula>
    </cfRule>
  </conditionalFormatting>
  <conditionalFormatting sqref="N41">
    <cfRule type="expression" dxfId="140" priority="3">
      <formula>IF(G42+H42&gt;0,TRUE,FALSE)</formula>
    </cfRule>
    <cfRule type="cellIs" dxfId="139" priority="4" operator="greaterThan">
      <formula>0</formula>
    </cfRule>
    <cfRule type="expression" dxfId="138" priority="5">
      <formula>ISERROR(N41)</formula>
    </cfRule>
  </conditionalFormatting>
  <conditionalFormatting sqref="N44">
    <cfRule type="expression" dxfId="137" priority="2">
      <formula>ISERROR(N44)</formula>
    </cfRule>
  </conditionalFormatting>
  <dataValidations count="1">
    <dataValidation type="list" allowBlank="1" showInputMessage="1" showErrorMessage="1" sqref="X38:X43 X46:X51 X54:X59 X28:X35">
      <formula1>Liste</formula1>
    </dataValidation>
  </dataValidations>
  <hyperlinks>
    <hyperlink ref="U9" r:id="rId1"/>
    <hyperlink ref="U10" r:id="rId2"/>
  </hyperlinks>
  <pageMargins left="0.70866141732283472" right="0.70866141732283472" top="0.78740157480314965" bottom="0.78740157480314965" header="0.31496062992125984" footer="0.31496062992125984"/>
  <pageSetup paperSize="9" scale="62" orientation="portrait" r:id="rId3"/>
  <headerFooter>
    <oddFooter>&amp;L&amp;D&amp;Cuwe Luzern</oddFooter>
  </headerFooter>
  <rowBreaks count="1" manualBreakCount="1">
    <brk id="36" min="17" max="24" man="1"/>
  </rowBreaks>
  <drawing r:id="rId4"/>
  <legacyDrawing r:id="rId5"/>
  <oleObjects>
    <mc:AlternateContent xmlns:mc="http://schemas.openxmlformats.org/markup-compatibility/2006">
      <mc:Choice Requires="x14">
        <oleObject progId="Acrobat Document" dvAspect="DVASPECT_ICON" shapeId="10246" r:id="rId6">
          <objectPr locked="0" defaultSize="0" r:id="rId7">
            <anchor moveWithCells="1">
              <from>
                <xdr:col>23</xdr:col>
                <xdr:colOff>123825</xdr:colOff>
                <xdr:row>1</xdr:row>
                <xdr:rowOff>19050</xdr:rowOff>
              </from>
              <to>
                <xdr:col>23</xdr:col>
                <xdr:colOff>1038225</xdr:colOff>
                <xdr:row>3</xdr:row>
                <xdr:rowOff>190500</xdr:rowOff>
              </to>
            </anchor>
          </objectPr>
        </oleObject>
      </mc:Choice>
      <mc:Fallback>
        <oleObject progId="Acrobat Document" dvAspect="DVASPECT_ICON" shapeId="10246" r:id="rId6"/>
      </mc:Fallback>
    </mc:AlternateContent>
  </oleObjects>
  <controls>
    <mc:AlternateContent xmlns:mc="http://schemas.openxmlformats.org/markup-compatibility/2006">
      <mc:Choice Requires="x14">
        <control shapeId="10242" r:id="rId8" name="OptionButton2">
          <controlPr locked="0" defaultSize="0" autoLine="0" linkedCell="E20" r:id="rId9">
            <anchor moveWithCells="1" sizeWithCells="1">
              <from>
                <xdr:col>4</xdr:col>
                <xdr:colOff>19050</xdr:colOff>
                <xdr:row>19</xdr:row>
                <xdr:rowOff>19050</xdr:rowOff>
              </from>
              <to>
                <xdr:col>6</xdr:col>
                <xdr:colOff>962025</xdr:colOff>
                <xdr:row>20</xdr:row>
                <xdr:rowOff>0</xdr:rowOff>
              </to>
            </anchor>
          </controlPr>
        </control>
      </mc:Choice>
      <mc:Fallback>
        <control shapeId="10242" r:id="rId8" name="OptionButton2"/>
      </mc:Fallback>
    </mc:AlternateContent>
    <mc:AlternateContent xmlns:mc="http://schemas.openxmlformats.org/markup-compatibility/2006">
      <mc:Choice Requires="x14">
        <control shapeId="10241" r:id="rId10" name="OptionButton1">
          <controlPr locked="0" defaultSize="0" autoLine="0" linkedCell="C20" r:id="rId11">
            <anchor moveWithCells="1" sizeWithCells="1">
              <from>
                <xdr:col>2</xdr:col>
                <xdr:colOff>19050</xdr:colOff>
                <xdr:row>19</xdr:row>
                <xdr:rowOff>9525</xdr:rowOff>
              </from>
              <to>
                <xdr:col>3</xdr:col>
                <xdr:colOff>942975</xdr:colOff>
                <xdr:row>19</xdr:row>
                <xdr:rowOff>219075</xdr:rowOff>
              </to>
            </anchor>
          </controlPr>
        </control>
      </mc:Choice>
      <mc:Fallback>
        <control shapeId="10241" r:id="rId10" name="OptionButton1"/>
      </mc:Fallback>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AW116"/>
  <sheetViews>
    <sheetView showGridLines="0" showRowColHeaders="0" zoomScaleNormal="100" workbookViewId="0"/>
  </sheetViews>
  <sheetFormatPr baseColWidth="10" defaultColWidth="0" defaultRowHeight="14.25" zeroHeight="1" x14ac:dyDescent="0.2"/>
  <cols>
    <col min="1" max="1" width="11.42578125" style="10" customWidth="1"/>
    <col min="2" max="2" width="3.7109375" style="10" customWidth="1"/>
    <col min="3" max="3" width="35.7109375" style="10" customWidth="1"/>
    <col min="4" max="4" width="20.7109375" style="10" customWidth="1"/>
    <col min="5" max="8" width="17.7109375" style="10" customWidth="1"/>
    <col min="9" max="9" width="3.7109375" style="10" customWidth="1"/>
    <col min="10" max="10" width="2.7109375" style="10" customWidth="1"/>
    <col min="11" max="11" width="3.7109375" style="10" customWidth="1"/>
    <col min="12" max="17" width="20.7109375" style="10" customWidth="1"/>
    <col min="18" max="20" width="3.7109375" style="10" customWidth="1"/>
    <col min="21" max="24" width="20.7109375" style="10" customWidth="1"/>
    <col min="25" max="27" width="3.7109375" style="10" customWidth="1"/>
    <col min="28" max="29" width="30.7109375" style="10" customWidth="1"/>
    <col min="30" max="33" width="20.7109375" style="10" customWidth="1"/>
    <col min="34" max="36" width="3.7109375" style="10" customWidth="1"/>
    <col min="37" max="37" width="11.42578125" style="10" customWidth="1"/>
    <col min="38" max="38" width="31.5703125" style="10" customWidth="1"/>
    <col min="39" max="41" width="16.7109375" style="10" customWidth="1"/>
    <col min="42" max="42" width="14.42578125" style="10" customWidth="1"/>
    <col min="43" max="45" width="11.42578125" style="10" customWidth="1"/>
    <col min="46" max="46" width="14.7109375" style="10" customWidth="1"/>
    <col min="47" max="49" width="11.42578125" style="10" customWidth="1"/>
    <col min="50" max="16384" width="11.42578125" style="10" hidden="1"/>
  </cols>
  <sheetData>
    <row r="1" spans="2:48" x14ac:dyDescent="0.2">
      <c r="C1" s="374"/>
      <c r="D1" s="374"/>
      <c r="E1" s="374"/>
      <c r="F1" s="374"/>
      <c r="G1" s="374"/>
      <c r="H1" s="374"/>
      <c r="I1" s="374"/>
      <c r="J1" s="400"/>
      <c r="K1" s="400"/>
      <c r="L1" s="400"/>
      <c r="M1" s="400"/>
      <c r="N1" s="400"/>
      <c r="O1" s="400"/>
      <c r="P1" s="400"/>
      <c r="Q1" s="400"/>
      <c r="R1" s="400"/>
      <c r="S1" s="400"/>
      <c r="T1" s="400"/>
      <c r="U1" s="400"/>
      <c r="V1" s="400"/>
      <c r="W1" s="400"/>
      <c r="X1" s="400"/>
      <c r="Y1" s="400"/>
      <c r="Z1" s="400"/>
      <c r="AA1" s="400"/>
      <c r="AB1" s="400"/>
      <c r="AC1" s="400"/>
      <c r="AD1" s="400"/>
      <c r="AE1" s="400"/>
      <c r="AF1" s="400"/>
      <c r="AG1" s="400"/>
      <c r="AH1" s="400"/>
      <c r="AI1" s="400"/>
    </row>
    <row r="2" spans="2:48" ht="26.25" x14ac:dyDescent="0.4">
      <c r="C2" s="458" t="s">
        <v>964</v>
      </c>
      <c r="D2" s="374"/>
      <c r="E2" s="374"/>
      <c r="F2" s="374" t="s">
        <v>970</v>
      </c>
      <c r="H2" s="400" t="s">
        <v>1020</v>
      </c>
      <c r="I2" s="374"/>
      <c r="J2" s="485"/>
      <c r="K2" s="400"/>
      <c r="L2" s="10" t="s">
        <v>967</v>
      </c>
      <c r="M2" s="400"/>
      <c r="N2" s="400" t="s">
        <v>577</v>
      </c>
      <c r="O2" s="400"/>
      <c r="P2" s="399"/>
      <c r="Q2" s="399"/>
      <c r="R2" s="400"/>
      <c r="S2" s="400"/>
      <c r="T2" s="400"/>
      <c r="U2" s="400"/>
      <c r="V2" s="400"/>
      <c r="W2" s="400"/>
      <c r="X2" s="400"/>
      <c r="Y2" s="400"/>
      <c r="Z2" s="400"/>
      <c r="AA2" s="400"/>
      <c r="AB2" s="400"/>
      <c r="AC2" s="400"/>
      <c r="AD2" s="400"/>
      <c r="AE2" s="400"/>
      <c r="AF2" s="400"/>
      <c r="AG2" s="400"/>
      <c r="AH2" s="400"/>
      <c r="AI2" s="400"/>
    </row>
    <row r="3" spans="2:48" x14ac:dyDescent="0.2">
      <c r="C3" s="374"/>
      <c r="D3" s="374"/>
      <c r="E3" s="374"/>
      <c r="F3" s="374"/>
      <c r="G3" s="374"/>
      <c r="H3" s="374"/>
      <c r="I3" s="374"/>
      <c r="J3" s="400"/>
      <c r="K3" s="400"/>
      <c r="L3" s="400"/>
      <c r="M3" s="400"/>
      <c r="N3" s="400"/>
      <c r="O3" s="400"/>
      <c r="P3" s="399"/>
      <c r="Q3" s="399"/>
      <c r="R3" s="400"/>
      <c r="S3" s="400"/>
      <c r="T3" s="400"/>
      <c r="U3" s="400"/>
      <c r="V3" s="400"/>
      <c r="W3" s="400"/>
      <c r="X3" s="400"/>
      <c r="Y3" s="400"/>
      <c r="Z3" s="400"/>
      <c r="AA3" s="400"/>
      <c r="AB3" s="400"/>
      <c r="AC3" s="400"/>
      <c r="AD3" s="400"/>
      <c r="AE3" s="400"/>
      <c r="AF3" s="400"/>
      <c r="AG3" s="400"/>
      <c r="AH3" s="400"/>
      <c r="AI3" s="400"/>
    </row>
    <row r="4" spans="2:48" x14ac:dyDescent="0.2">
      <c r="C4" s="374"/>
      <c r="D4" s="374"/>
      <c r="E4" s="374"/>
      <c r="F4" s="374"/>
      <c r="G4" s="374"/>
      <c r="H4" s="374"/>
      <c r="I4" s="374"/>
      <c r="J4" s="400"/>
      <c r="K4" s="400"/>
      <c r="L4" s="400"/>
      <c r="M4" s="400"/>
      <c r="N4" s="400"/>
      <c r="O4" s="400"/>
      <c r="P4" s="399"/>
      <c r="Q4" s="399"/>
      <c r="R4" s="400"/>
      <c r="S4" s="400"/>
      <c r="T4" s="400"/>
      <c r="U4" s="400"/>
      <c r="V4" s="400"/>
      <c r="W4" s="400"/>
      <c r="X4" s="400"/>
      <c r="Y4" s="400"/>
      <c r="Z4" s="400"/>
      <c r="AA4" s="400"/>
      <c r="AB4" s="400"/>
      <c r="AC4" s="400"/>
      <c r="AD4" s="400"/>
      <c r="AE4" s="400"/>
      <c r="AF4" s="400"/>
      <c r="AG4" s="400"/>
      <c r="AH4" s="400"/>
      <c r="AI4" s="400"/>
    </row>
    <row r="5" spans="2:48" ht="18" x14ac:dyDescent="0.25">
      <c r="C5" s="374"/>
      <c r="D5" s="374"/>
      <c r="E5" s="457" t="s">
        <v>965</v>
      </c>
      <c r="F5" s="374"/>
      <c r="G5" s="374"/>
      <c r="H5" s="374"/>
      <c r="I5" s="374"/>
      <c r="J5" s="400"/>
      <c r="K5" s="400"/>
      <c r="L5" s="377"/>
      <c r="M5" s="400"/>
      <c r="N5" s="457" t="s">
        <v>968</v>
      </c>
      <c r="O5" s="400"/>
      <c r="P5" s="399"/>
      <c r="Q5" s="399"/>
      <c r="R5" s="400"/>
      <c r="S5" s="400"/>
      <c r="T5" s="400"/>
      <c r="U5" s="1623" t="s">
        <v>569</v>
      </c>
      <c r="V5" s="1623"/>
      <c r="W5" s="1623"/>
      <c r="X5" s="400"/>
      <c r="Y5" s="400"/>
      <c r="Z5" s="400"/>
      <c r="AA5" s="400"/>
      <c r="AB5" s="712" t="s">
        <v>576</v>
      </c>
      <c r="AC5" s="400"/>
      <c r="AG5" s="400"/>
      <c r="AH5" s="400"/>
      <c r="AI5" s="400"/>
    </row>
    <row r="6" spans="2:48" x14ac:dyDescent="0.2">
      <c r="C6" s="374"/>
      <c r="D6" s="374"/>
      <c r="E6" s="374"/>
      <c r="F6" s="374"/>
      <c r="G6" s="374"/>
      <c r="H6" s="374"/>
      <c r="I6" s="374"/>
      <c r="J6" s="400"/>
      <c r="K6" s="400"/>
      <c r="L6" s="400"/>
      <c r="M6" s="400"/>
      <c r="N6" s="400"/>
      <c r="O6" s="400"/>
      <c r="P6" s="399"/>
      <c r="Q6" s="399"/>
      <c r="R6" s="400"/>
      <c r="S6" s="400"/>
      <c r="T6" s="400"/>
      <c r="U6" s="400"/>
      <c r="V6" s="400"/>
      <c r="W6" s="400"/>
      <c r="X6" s="400"/>
      <c r="Y6" s="400"/>
      <c r="Z6" s="400"/>
      <c r="AA6" s="400"/>
      <c r="AB6" s="400"/>
      <c r="AC6" s="400"/>
      <c r="AG6" s="400"/>
      <c r="AH6" s="400"/>
      <c r="AI6" s="400"/>
    </row>
    <row r="7" spans="2:48" x14ac:dyDescent="0.2">
      <c r="C7" s="374" t="s">
        <v>513</v>
      </c>
      <c r="D7" s="374"/>
      <c r="E7" s="374"/>
      <c r="F7" s="374"/>
      <c r="G7" s="374"/>
      <c r="H7" s="374"/>
      <c r="I7" s="374"/>
      <c r="J7" s="400"/>
      <c r="K7" s="400"/>
      <c r="L7" s="400" t="s">
        <v>606</v>
      </c>
      <c r="M7" s="400"/>
      <c r="N7" s="400"/>
      <c r="O7" s="400"/>
      <c r="P7" s="400"/>
      <c r="Q7" s="400"/>
      <c r="R7" s="400"/>
      <c r="S7" s="400"/>
      <c r="T7" s="400"/>
      <c r="U7" s="400" t="s">
        <v>575</v>
      </c>
      <c r="V7" s="400"/>
      <c r="W7" s="400"/>
      <c r="X7" s="400"/>
      <c r="Y7" s="400"/>
      <c r="Z7" s="400"/>
      <c r="AA7" s="400"/>
      <c r="AB7" s="400" t="s">
        <v>585</v>
      </c>
      <c r="AC7" s="400"/>
      <c r="AG7" s="400"/>
      <c r="AH7" s="400"/>
      <c r="AI7" s="400"/>
    </row>
    <row r="8" spans="2:48" x14ac:dyDescent="0.2">
      <c r="C8" s="374" t="s">
        <v>966</v>
      </c>
      <c r="D8" s="374"/>
      <c r="E8" s="374"/>
      <c r="F8" s="374"/>
      <c r="G8" s="374"/>
      <c r="H8" s="374"/>
      <c r="I8" s="374"/>
      <c r="J8" s="400"/>
      <c r="K8" s="400"/>
      <c r="L8" s="400" t="s">
        <v>969</v>
      </c>
      <c r="M8" s="400"/>
      <c r="N8" s="400"/>
      <c r="O8" s="400"/>
      <c r="P8" s="400"/>
      <c r="Q8" s="400"/>
      <c r="R8" s="400"/>
      <c r="S8" s="400"/>
      <c r="T8" s="400"/>
      <c r="U8" s="400" t="s">
        <v>574</v>
      </c>
      <c r="V8" s="400"/>
      <c r="W8" s="400"/>
      <c r="X8" s="400"/>
      <c r="Y8" s="400"/>
      <c r="Z8" s="400"/>
      <c r="AA8" s="400"/>
      <c r="AB8" s="400" t="s">
        <v>589</v>
      </c>
      <c r="AC8" s="400"/>
      <c r="AG8" s="400"/>
      <c r="AH8" s="400"/>
      <c r="AI8" s="400"/>
    </row>
    <row r="9" spans="2:48" x14ac:dyDescent="0.2">
      <c r="C9" s="374" t="s">
        <v>515</v>
      </c>
      <c r="D9" s="374"/>
      <c r="E9" s="374"/>
      <c r="F9" s="374"/>
      <c r="G9" s="374"/>
      <c r="H9" s="374"/>
      <c r="I9" s="374"/>
      <c r="J9" s="400"/>
      <c r="K9" s="400"/>
      <c r="L9" s="400"/>
      <c r="M9" s="400"/>
      <c r="N9" s="400"/>
      <c r="O9" s="400"/>
      <c r="P9" s="400"/>
      <c r="Q9" s="400"/>
      <c r="R9" s="400"/>
      <c r="S9" s="400"/>
      <c r="T9" s="400"/>
      <c r="U9" s="400"/>
      <c r="V9" s="400"/>
      <c r="W9" s="400"/>
      <c r="X9" s="400"/>
      <c r="Y9" s="400"/>
      <c r="Z9" s="400"/>
      <c r="AA9" s="400"/>
      <c r="AB9" s="400" t="s">
        <v>590</v>
      </c>
      <c r="AC9" s="400"/>
      <c r="AD9" s="400"/>
      <c r="AE9" s="400"/>
      <c r="AF9" s="400"/>
      <c r="AG9" s="400"/>
      <c r="AH9" s="400"/>
      <c r="AI9" s="400"/>
    </row>
    <row r="10" spans="2:48" ht="15" x14ac:dyDescent="0.2">
      <c r="C10" s="374" t="s">
        <v>516</v>
      </c>
      <c r="D10" s="374"/>
      <c r="E10" s="374"/>
      <c r="F10" s="374"/>
      <c r="G10" s="374"/>
      <c r="H10" s="374"/>
      <c r="I10" s="374"/>
      <c r="J10" s="400"/>
      <c r="K10" s="400"/>
      <c r="L10" s="400"/>
      <c r="M10" s="400"/>
      <c r="N10" s="400"/>
      <c r="O10" s="400"/>
      <c r="P10" s="400"/>
      <c r="Q10" s="400"/>
      <c r="R10" s="400"/>
      <c r="S10" s="400"/>
      <c r="T10" s="400"/>
      <c r="U10" s="400"/>
      <c r="V10" s="400"/>
      <c r="W10" s="400"/>
      <c r="X10" s="400"/>
      <c r="Y10" s="400"/>
      <c r="Z10" s="400"/>
      <c r="AA10" s="400"/>
      <c r="AB10" s="1983" t="s">
        <v>309</v>
      </c>
      <c r="AC10" s="1983"/>
      <c r="AD10" s="365" t="s">
        <v>296</v>
      </c>
      <c r="AE10" s="420"/>
      <c r="AF10" s="420"/>
      <c r="AG10" s="420"/>
      <c r="AH10" s="400"/>
      <c r="AI10" s="400"/>
    </row>
    <row r="11" spans="2:48" ht="15.75" thickBot="1" x14ac:dyDescent="0.3">
      <c r="C11" s="374" t="s">
        <v>517</v>
      </c>
      <c r="D11" s="374"/>
      <c r="E11" s="374"/>
      <c r="F11" s="374"/>
      <c r="G11" s="374"/>
      <c r="H11" s="374"/>
      <c r="I11" s="374"/>
      <c r="J11" s="400"/>
      <c r="K11" s="400"/>
      <c r="L11" s="400"/>
      <c r="M11" s="400"/>
      <c r="N11" s="400"/>
      <c r="O11" s="400"/>
      <c r="P11" s="400"/>
      <c r="Q11" s="400"/>
      <c r="R11" s="400"/>
      <c r="S11" s="400"/>
      <c r="T11" s="400"/>
      <c r="U11" s="400"/>
      <c r="V11" s="400"/>
      <c r="W11" s="400"/>
      <c r="X11" s="400"/>
      <c r="Y11" s="400"/>
      <c r="Z11" s="400"/>
      <c r="AA11" s="400"/>
      <c r="AB11" s="364" t="s">
        <v>292</v>
      </c>
      <c r="AC11" s="1164"/>
      <c r="AD11" s="201" t="s">
        <v>937</v>
      </c>
      <c r="AE11" s="420"/>
      <c r="AF11" s="420"/>
      <c r="AG11" s="420"/>
      <c r="AH11" s="400"/>
      <c r="AI11" s="400"/>
    </row>
    <row r="12" spans="2:48" ht="15" customHeight="1" thickBot="1" x14ac:dyDescent="0.25">
      <c r="B12" s="24"/>
      <c r="C12" s="24"/>
      <c r="D12" s="24"/>
      <c r="E12" s="24"/>
      <c r="F12" s="24"/>
      <c r="G12" s="24"/>
      <c r="H12" s="24"/>
      <c r="I12" s="24"/>
      <c r="K12" s="48"/>
      <c r="L12" s="33"/>
      <c r="M12" s="33"/>
      <c r="N12" s="33"/>
      <c r="O12" s="33"/>
      <c r="P12" s="33"/>
      <c r="Q12" s="33"/>
      <c r="R12" s="674"/>
      <c r="T12" s="409"/>
      <c r="U12" s="296"/>
      <c r="V12" s="296"/>
      <c r="W12" s="296"/>
      <c r="X12" s="296"/>
      <c r="Y12" s="674"/>
      <c r="AA12" s="48"/>
      <c r="AB12" s="33"/>
      <c r="AC12" s="33"/>
      <c r="AD12" s="33"/>
      <c r="AE12" s="33"/>
      <c r="AF12" s="33"/>
      <c r="AG12" s="33"/>
      <c r="AH12" s="674"/>
    </row>
    <row r="13" spans="2:48" ht="15" customHeight="1" x14ac:dyDescent="0.2">
      <c r="B13" s="207"/>
      <c r="C13" s="1891" t="s">
        <v>945</v>
      </c>
      <c r="D13" s="1892"/>
      <c r="E13" s="1892"/>
      <c r="F13" s="1892"/>
      <c r="G13" s="1892"/>
      <c r="H13" s="1214"/>
      <c r="I13" s="207"/>
      <c r="K13" s="25"/>
      <c r="L13" s="1968" t="s">
        <v>376</v>
      </c>
      <c r="M13" s="1969"/>
      <c r="N13" s="1969"/>
      <c r="O13" s="1969"/>
      <c r="P13" s="1969"/>
      <c r="Q13" s="1970"/>
      <c r="R13" s="675"/>
      <c r="T13" s="412"/>
      <c r="U13" s="1990" t="s">
        <v>586</v>
      </c>
      <c r="V13" s="1991"/>
      <c r="W13" s="1991"/>
      <c r="X13" s="1992"/>
      <c r="Y13" s="675"/>
      <c r="AA13" s="25"/>
      <c r="AB13" s="281"/>
      <c r="AC13" s="26"/>
      <c r="AD13" s="26"/>
      <c r="AE13" s="26"/>
      <c r="AF13" s="26"/>
      <c r="AG13" s="26"/>
      <c r="AH13" s="675"/>
    </row>
    <row r="14" spans="2:48" ht="21" customHeight="1" thickBot="1" x14ac:dyDescent="0.35">
      <c r="B14" s="207"/>
      <c r="C14" s="1894"/>
      <c r="D14" s="1895"/>
      <c r="E14" s="1895"/>
      <c r="F14" s="1895"/>
      <c r="G14" s="1895"/>
      <c r="H14" s="1215"/>
      <c r="I14" s="207"/>
      <c r="J14" s="1119"/>
      <c r="K14" s="25"/>
      <c r="L14" s="1971"/>
      <c r="M14" s="1972"/>
      <c r="N14" s="1972"/>
      <c r="O14" s="1972"/>
      <c r="P14" s="1972"/>
      <c r="Q14" s="1973"/>
      <c r="R14" s="675"/>
      <c r="T14" s="412"/>
      <c r="U14" s="1993"/>
      <c r="V14" s="1994"/>
      <c r="W14" s="1994"/>
      <c r="X14" s="1995"/>
      <c r="Y14" s="675"/>
      <c r="AA14" s="25"/>
      <c r="AB14" s="1833" t="s">
        <v>20</v>
      </c>
      <c r="AC14" s="26"/>
      <c r="AD14" s="26"/>
      <c r="AE14" s="26"/>
      <c r="AF14" s="34"/>
      <c r="AG14" s="26"/>
      <c r="AH14" s="675"/>
    </row>
    <row r="15" spans="2:48" ht="30" customHeight="1" thickBot="1" x14ac:dyDescent="0.25">
      <c r="B15" s="207"/>
      <c r="C15" s="1216"/>
      <c r="D15" s="1216"/>
      <c r="E15" s="1216"/>
      <c r="F15" s="1216"/>
      <c r="G15" s="1216"/>
      <c r="H15" s="1216"/>
      <c r="I15" s="207"/>
      <c r="K15" s="25"/>
      <c r="L15" s="26"/>
      <c r="M15" s="26"/>
      <c r="N15" s="26"/>
      <c r="O15" s="26"/>
      <c r="P15" s="26"/>
      <c r="Q15" s="26"/>
      <c r="R15" s="675"/>
      <c r="T15" s="559"/>
      <c r="U15" s="1294"/>
      <c r="V15" s="1294"/>
      <c r="W15" s="1294"/>
      <c r="X15" s="276"/>
      <c r="Y15" s="675"/>
      <c r="AA15" s="25"/>
      <c r="AB15" s="1833"/>
      <c r="AC15" s="26"/>
      <c r="AD15" s="26"/>
      <c r="AE15" s="26"/>
      <c r="AF15" s="26"/>
      <c r="AG15" s="26"/>
      <c r="AH15" s="675"/>
      <c r="AT15" s="729" t="s">
        <v>952</v>
      </c>
      <c r="AU15" s="1253"/>
      <c r="AV15" s="1254"/>
    </row>
    <row r="16" spans="2:48" ht="30" customHeight="1" thickBot="1" x14ac:dyDescent="0.3">
      <c r="B16" s="24"/>
      <c r="C16" s="1906" t="s">
        <v>961</v>
      </c>
      <c r="D16" s="1907"/>
      <c r="E16" s="1066"/>
      <c r="F16" s="1939" t="s">
        <v>319</v>
      </c>
      <c r="G16" s="1940"/>
      <c r="H16" s="1941"/>
      <c r="I16" s="24"/>
      <c r="K16" s="25"/>
      <c r="L16" s="1924" t="s">
        <v>962</v>
      </c>
      <c r="M16" s="1925"/>
      <c r="N16" s="1926"/>
      <c r="O16" s="1956" t="s">
        <v>404</v>
      </c>
      <c r="P16" s="1957"/>
      <c r="Q16" s="1262" t="s">
        <v>405</v>
      </c>
      <c r="R16" s="675"/>
      <c r="T16" s="536"/>
      <c r="U16" s="537"/>
      <c r="V16" s="537"/>
      <c r="W16" s="537"/>
      <c r="X16" s="296"/>
      <c r="Y16" s="674"/>
      <c r="AA16" s="25"/>
      <c r="AB16" s="1833"/>
      <c r="AC16" s="26"/>
      <c r="AD16" s="26"/>
      <c r="AE16" s="635"/>
      <c r="AF16" s="635"/>
      <c r="AG16" s="26"/>
      <c r="AH16" s="675"/>
      <c r="AL16" s="316" t="s">
        <v>951</v>
      </c>
      <c r="AM16" s="11"/>
      <c r="AN16" s="11"/>
      <c r="AO16" s="1244"/>
      <c r="AP16" s="14"/>
      <c r="AQ16" s="11"/>
      <c r="AR16" s="12"/>
      <c r="AT16" s="1255">
        <v>775</v>
      </c>
      <c r="AU16" s="1182" t="s">
        <v>323</v>
      </c>
      <c r="AV16" s="1256" t="s">
        <v>953</v>
      </c>
    </row>
    <row r="17" spans="2:48" ht="18" customHeight="1" thickBot="1" x14ac:dyDescent="0.25">
      <c r="B17" s="24"/>
      <c r="C17" s="1908"/>
      <c r="D17" s="1909"/>
      <c r="E17" s="1067" t="s">
        <v>399</v>
      </c>
      <c r="F17" s="1217" t="s">
        <v>12</v>
      </c>
      <c r="G17" s="1218" t="s">
        <v>339</v>
      </c>
      <c r="H17" s="1219" t="s">
        <v>225</v>
      </c>
      <c r="I17" s="24"/>
      <c r="K17" s="25"/>
      <c r="L17" s="1927"/>
      <c r="M17" s="1928"/>
      <c r="N17" s="1929"/>
      <c r="O17" s="1263"/>
      <c r="P17" s="1264" t="s">
        <v>407</v>
      </c>
      <c r="Q17" s="1265"/>
      <c r="R17" s="675"/>
      <c r="T17" s="412"/>
      <c r="U17" s="1846" t="s">
        <v>570</v>
      </c>
      <c r="V17" s="1996"/>
      <c r="W17" s="1847"/>
      <c r="X17" s="701">
        <f>IF(F37&gt;0,F37,0)</f>
        <v>0</v>
      </c>
      <c r="Y17" s="675"/>
      <c r="AA17" s="25"/>
      <c r="AB17" s="1833"/>
      <c r="AC17" s="26"/>
      <c r="AD17" s="26"/>
      <c r="AE17" s="26"/>
      <c r="AF17" s="26"/>
      <c r="AG17" s="26"/>
      <c r="AH17" s="675"/>
      <c r="AL17" s="36"/>
      <c r="AM17" s="325" t="s">
        <v>322</v>
      </c>
      <c r="AN17" s="325" t="s">
        <v>323</v>
      </c>
      <c r="AO17" s="1245" t="s">
        <v>225</v>
      </c>
      <c r="AP17" s="1248" t="s">
        <v>692</v>
      </c>
      <c r="AQ17" s="325" t="s">
        <v>947</v>
      </c>
      <c r="AR17" s="326" t="s">
        <v>948</v>
      </c>
      <c r="AT17" s="1255">
        <v>117</v>
      </c>
      <c r="AU17" s="1182" t="s">
        <v>692</v>
      </c>
      <c r="AV17" s="1256" t="s">
        <v>953</v>
      </c>
    </row>
    <row r="18" spans="2:48" ht="18" customHeight="1" thickBot="1" x14ac:dyDescent="0.25">
      <c r="B18" s="24"/>
      <c r="C18" s="1856"/>
      <c r="D18" s="1942"/>
      <c r="E18" s="1220" t="s">
        <v>946</v>
      </c>
      <c r="F18" s="1225"/>
      <c r="G18" s="1226"/>
      <c r="H18" s="1227"/>
      <c r="I18" s="24"/>
      <c r="K18" s="25"/>
      <c r="L18" s="1930"/>
      <c r="M18" s="1931"/>
      <c r="N18" s="1932"/>
      <c r="O18" s="1266" t="s">
        <v>955</v>
      </c>
      <c r="P18" s="1177" t="s">
        <v>956</v>
      </c>
      <c r="Q18" s="1267" t="s">
        <v>555</v>
      </c>
      <c r="R18" s="675"/>
      <c r="T18" s="412"/>
      <c r="U18" s="1964" t="s">
        <v>747</v>
      </c>
      <c r="V18" s="1965"/>
      <c r="W18" s="1966"/>
      <c r="X18" s="702">
        <f>IF(F39&gt;0,F39,0)</f>
        <v>0</v>
      </c>
      <c r="Y18" s="675"/>
      <c r="AA18" s="25"/>
      <c r="AB18" s="1833"/>
      <c r="AC18" s="26"/>
      <c r="AD18" s="26"/>
      <c r="AE18" s="26"/>
      <c r="AF18" s="26"/>
      <c r="AG18" s="26"/>
      <c r="AH18" s="675"/>
      <c r="AL18" s="36"/>
      <c r="AM18" s="35" t="s">
        <v>344</v>
      </c>
      <c r="AN18" s="35" t="s">
        <v>345</v>
      </c>
      <c r="AO18" s="1246" t="s">
        <v>345</v>
      </c>
      <c r="AP18" s="1249" t="s">
        <v>345</v>
      </c>
      <c r="AQ18" s="35" t="s">
        <v>345</v>
      </c>
      <c r="AR18" s="211" t="s">
        <v>345</v>
      </c>
      <c r="AT18" s="1255">
        <v>19.2</v>
      </c>
      <c r="AU18" s="1182" t="s">
        <v>949</v>
      </c>
      <c r="AV18" s="1256" t="s">
        <v>953</v>
      </c>
    </row>
    <row r="19" spans="2:48" ht="18" customHeight="1" thickBot="1" x14ac:dyDescent="0.3">
      <c r="B19" s="24"/>
      <c r="C19" s="1859" t="s">
        <v>400</v>
      </c>
      <c r="D19" s="1883"/>
      <c r="E19" s="1579"/>
      <c r="F19" s="1228"/>
      <c r="G19" s="1229"/>
      <c r="H19" s="1230"/>
      <c r="I19" s="24"/>
      <c r="K19" s="25"/>
      <c r="L19" s="1933" t="str">
        <f t="shared" ref="L19:L24" si="0">AL38</f>
        <v>Sudhaus</v>
      </c>
      <c r="M19" s="1934"/>
      <c r="N19" s="1935"/>
      <c r="O19" s="1268">
        <f t="shared" ref="O19:O24" si="1">$E$19*AO38</f>
        <v>0</v>
      </c>
      <c r="P19" s="1269">
        <f t="shared" ref="P19:P24" si="2">$E$19*AS38</f>
        <v>0</v>
      </c>
      <c r="Q19" s="1270"/>
      <c r="R19" s="675"/>
      <c r="T19" s="412"/>
      <c r="U19" s="1964" t="s">
        <v>1002</v>
      </c>
      <c r="V19" s="1965"/>
      <c r="W19" s="1966"/>
      <c r="X19" s="702">
        <f>IF(F42&gt;0,F42,0)</f>
        <v>0</v>
      </c>
      <c r="Y19" s="675"/>
      <c r="AA19" s="25"/>
      <c r="AB19" s="6"/>
      <c r="AC19" s="26"/>
      <c r="AD19" s="26"/>
      <c r="AE19" s="26"/>
      <c r="AF19" s="26"/>
      <c r="AG19" s="26"/>
      <c r="AH19" s="675"/>
      <c r="AL19" s="317" t="s">
        <v>391</v>
      </c>
      <c r="AM19" s="318">
        <v>0.59</v>
      </c>
      <c r="AN19" s="318">
        <v>0.48</v>
      </c>
      <c r="AO19" s="1247">
        <v>0.76319999999999999</v>
      </c>
      <c r="AP19" s="1250">
        <v>7.246451612903225E-2</v>
      </c>
      <c r="AQ19" s="1251">
        <v>1.1891612903225804E-2</v>
      </c>
      <c r="AR19" s="1252">
        <v>4.7070967741935478E-3</v>
      </c>
      <c r="AT19" s="1257">
        <v>7.6</v>
      </c>
      <c r="AU19" s="1258" t="s">
        <v>950</v>
      </c>
      <c r="AV19" s="1259" t="s">
        <v>953</v>
      </c>
    </row>
    <row r="20" spans="2:48" ht="18" customHeight="1" x14ac:dyDescent="0.2">
      <c r="B20" s="24"/>
      <c r="C20" s="1921" t="s">
        <v>401</v>
      </c>
      <c r="D20" s="1922"/>
      <c r="E20" s="1221"/>
      <c r="F20" s="1231" t="s">
        <v>682</v>
      </c>
      <c r="G20" s="1232" t="s">
        <v>518</v>
      </c>
      <c r="H20" s="1233" t="s">
        <v>518</v>
      </c>
      <c r="I20" s="24"/>
      <c r="K20" s="25"/>
      <c r="L20" s="1936" t="str">
        <f t="shared" si="0"/>
        <v>Brauchwassererwärmung</v>
      </c>
      <c r="M20" s="1937"/>
      <c r="N20" s="1938"/>
      <c r="O20" s="1271">
        <f t="shared" si="1"/>
        <v>0</v>
      </c>
      <c r="P20" s="818">
        <f t="shared" si="2"/>
        <v>0</v>
      </c>
      <c r="Q20" s="1270"/>
      <c r="R20" s="675"/>
      <c r="T20" s="412"/>
      <c r="U20" s="1997" t="s">
        <v>571</v>
      </c>
      <c r="V20" s="1998"/>
      <c r="W20" s="1999"/>
      <c r="X20" s="703">
        <f>IF(P47&gt;0,P47,0)</f>
        <v>0</v>
      </c>
      <c r="Y20" s="675"/>
      <c r="AA20" s="25"/>
      <c r="AB20" s="6"/>
      <c r="AC20" s="26"/>
      <c r="AD20" s="26"/>
      <c r="AE20" s="26"/>
      <c r="AF20" s="26"/>
      <c r="AG20" s="26"/>
      <c r="AH20" s="675"/>
    </row>
    <row r="21" spans="2:48" ht="18" customHeight="1" thickBot="1" x14ac:dyDescent="0.25">
      <c r="B21" s="24"/>
      <c r="C21" s="1881" t="str">
        <f>AL24</f>
        <v>Sudhaus</v>
      </c>
      <c r="D21" s="1923"/>
      <c r="E21" s="1222"/>
      <c r="F21" s="1234">
        <f t="shared" ref="F21:H27" si="3">$E$19*AM24</f>
        <v>0</v>
      </c>
      <c r="G21" s="1235">
        <f t="shared" si="3"/>
        <v>0</v>
      </c>
      <c r="H21" s="1236">
        <f t="shared" si="3"/>
        <v>0</v>
      </c>
      <c r="I21" s="24"/>
      <c r="K21" s="25"/>
      <c r="L21" s="1936" t="str">
        <f t="shared" si="0"/>
        <v>Betriebswassererwärmung</v>
      </c>
      <c r="M21" s="1937"/>
      <c r="N21" s="1938"/>
      <c r="O21" s="1271">
        <f t="shared" si="1"/>
        <v>0</v>
      </c>
      <c r="P21" s="818">
        <f t="shared" si="2"/>
        <v>0</v>
      </c>
      <c r="Q21" s="1270"/>
      <c r="R21" s="675"/>
      <c r="T21" s="412"/>
      <c r="U21" s="1844" t="s">
        <v>572</v>
      </c>
      <c r="V21" s="1963"/>
      <c r="W21" s="1845"/>
      <c r="X21" s="1295">
        <f>IF(P48&gt;0,P48,0)</f>
        <v>0</v>
      </c>
      <c r="Y21" s="675"/>
      <c r="AA21" s="25"/>
      <c r="AB21" s="45" t="s">
        <v>109</v>
      </c>
      <c r="AC21" s="26"/>
      <c r="AD21" s="26"/>
      <c r="AE21" s="26"/>
      <c r="AF21" s="26"/>
      <c r="AG21" s="26"/>
      <c r="AH21" s="675"/>
    </row>
    <row r="22" spans="2:48" ht="18" customHeight="1" x14ac:dyDescent="0.25">
      <c r="B22" s="24"/>
      <c r="C22" s="1881" t="str">
        <f t="shared" ref="C22:C29" si="4">AL25</f>
        <v>Würzekühlung</v>
      </c>
      <c r="D22" s="1923"/>
      <c r="E22" s="1222"/>
      <c r="F22" s="1234">
        <f t="shared" si="3"/>
        <v>0</v>
      </c>
      <c r="G22" s="1235">
        <f t="shared" si="3"/>
        <v>0</v>
      </c>
      <c r="H22" s="1236">
        <f t="shared" si="3"/>
        <v>0</v>
      </c>
      <c r="I22" s="24"/>
      <c r="K22" s="25"/>
      <c r="L22" s="1936" t="str">
        <f t="shared" si="0"/>
        <v>Abfüllung (Flaschen)</v>
      </c>
      <c r="M22" s="1937"/>
      <c r="N22" s="1938"/>
      <c r="O22" s="1271">
        <f t="shared" si="1"/>
        <v>0</v>
      </c>
      <c r="P22" s="818">
        <f t="shared" si="2"/>
        <v>0</v>
      </c>
      <c r="Q22" s="1270"/>
      <c r="R22" s="675"/>
      <c r="T22" s="412"/>
      <c r="U22" s="2000" t="s">
        <v>573</v>
      </c>
      <c r="V22" s="2001"/>
      <c r="W22" s="2002"/>
      <c r="X22" s="1372">
        <f>X17+X19+X20+X21</f>
        <v>0</v>
      </c>
      <c r="Y22" s="675"/>
      <c r="AA22" s="25"/>
      <c r="AB22" s="26" t="s">
        <v>147</v>
      </c>
      <c r="AC22" s="26"/>
      <c r="AD22" s="26"/>
      <c r="AE22" s="26"/>
      <c r="AF22" s="26"/>
      <c r="AG22" s="26"/>
      <c r="AH22" s="675"/>
      <c r="AL22" s="316" t="s">
        <v>944</v>
      </c>
      <c r="AM22" s="19" t="s">
        <v>943</v>
      </c>
      <c r="AN22" s="327" t="s">
        <v>323</v>
      </c>
      <c r="AO22" s="328" t="s">
        <v>225</v>
      </c>
    </row>
    <row r="23" spans="2:48" ht="18" customHeight="1" thickBot="1" x14ac:dyDescent="0.3">
      <c r="B23" s="24"/>
      <c r="C23" s="1881" t="str">
        <f t="shared" si="4"/>
        <v>Gärkeller</v>
      </c>
      <c r="D23" s="1923"/>
      <c r="E23" s="1222"/>
      <c r="F23" s="1234">
        <f t="shared" si="3"/>
        <v>0</v>
      </c>
      <c r="G23" s="1235">
        <f t="shared" si="3"/>
        <v>0</v>
      </c>
      <c r="H23" s="1236">
        <f t="shared" si="3"/>
        <v>0</v>
      </c>
      <c r="I23" s="24"/>
      <c r="K23" s="25"/>
      <c r="L23" s="1936" t="str">
        <f t="shared" si="0"/>
        <v>Abfüllung Fass</v>
      </c>
      <c r="M23" s="1937"/>
      <c r="N23" s="1938"/>
      <c r="O23" s="1271">
        <f t="shared" si="1"/>
        <v>0</v>
      </c>
      <c r="P23" s="818">
        <f t="shared" si="2"/>
        <v>0</v>
      </c>
      <c r="Q23" s="1270"/>
      <c r="R23" s="675"/>
      <c r="T23" s="412"/>
      <c r="U23" s="1978" t="s">
        <v>748</v>
      </c>
      <c r="V23" s="1979"/>
      <c r="W23" s="1980"/>
      <c r="X23" s="1373">
        <f>X18+X19+X20+X21</f>
        <v>0</v>
      </c>
      <c r="Y23" s="675"/>
      <c r="AA23" s="25"/>
      <c r="AB23" s="26" t="s">
        <v>110</v>
      </c>
      <c r="AC23" s="26"/>
      <c r="AD23" s="26"/>
      <c r="AE23" s="26"/>
      <c r="AF23" s="26"/>
      <c r="AG23" s="26"/>
      <c r="AH23" s="675"/>
      <c r="AL23" s="321" t="s">
        <v>392</v>
      </c>
      <c r="AM23" s="17" t="s">
        <v>344</v>
      </c>
      <c r="AN23" s="212" t="s">
        <v>345</v>
      </c>
      <c r="AO23" s="213" t="s">
        <v>345</v>
      </c>
    </row>
    <row r="24" spans="2:48" ht="18" customHeight="1" thickBot="1" x14ac:dyDescent="0.25">
      <c r="B24" s="24"/>
      <c r="C24" s="1881" t="str">
        <f t="shared" si="4"/>
        <v>Lagerkeller</v>
      </c>
      <c r="D24" s="1923"/>
      <c r="E24" s="1222"/>
      <c r="F24" s="1234">
        <f t="shared" si="3"/>
        <v>0</v>
      </c>
      <c r="G24" s="1235">
        <f t="shared" si="3"/>
        <v>0</v>
      </c>
      <c r="H24" s="1236">
        <f t="shared" si="3"/>
        <v>0</v>
      </c>
      <c r="I24" s="24"/>
      <c r="K24" s="25"/>
      <c r="L24" s="1936" t="str">
        <f t="shared" si="0"/>
        <v>Diverses</v>
      </c>
      <c r="M24" s="1937"/>
      <c r="N24" s="1938"/>
      <c r="O24" s="1271">
        <f t="shared" si="1"/>
        <v>0</v>
      </c>
      <c r="P24" s="818">
        <f t="shared" si="2"/>
        <v>0</v>
      </c>
      <c r="Q24" s="1270"/>
      <c r="R24" s="675"/>
      <c r="T24" s="417"/>
      <c r="U24" s="678"/>
      <c r="V24" s="678"/>
      <c r="W24" s="678"/>
      <c r="X24" s="678"/>
      <c r="Y24" s="679"/>
      <c r="AA24" s="25"/>
      <c r="AB24" s="26" t="s">
        <v>111</v>
      </c>
      <c r="AC24" s="26"/>
      <c r="AD24" s="26"/>
      <c r="AE24" s="26"/>
      <c r="AF24" s="26"/>
      <c r="AG24" s="26"/>
      <c r="AH24" s="675"/>
      <c r="AL24" s="319" t="s">
        <v>347</v>
      </c>
      <c r="AM24" s="320">
        <v>0.03</v>
      </c>
      <c r="AN24" s="320">
        <v>1.4999999999999999E-2</v>
      </c>
      <c r="AO24" s="20">
        <f>AO$19/AN$19*AN24</f>
        <v>2.385E-2</v>
      </c>
    </row>
    <row r="25" spans="2:48" ht="18" customHeight="1" x14ac:dyDescent="0.2">
      <c r="B25" s="24"/>
      <c r="C25" s="1881" t="str">
        <f t="shared" si="4"/>
        <v>Filter- und Drucktankraum</v>
      </c>
      <c r="D25" s="1923"/>
      <c r="E25" s="1222"/>
      <c r="F25" s="1234">
        <f t="shared" si="3"/>
        <v>0</v>
      </c>
      <c r="G25" s="1235">
        <f t="shared" si="3"/>
        <v>0</v>
      </c>
      <c r="H25" s="1236">
        <f t="shared" si="3"/>
        <v>0</v>
      </c>
      <c r="I25" s="24"/>
      <c r="K25" s="25"/>
      <c r="L25" s="1936" t="str">
        <f t="shared" ref="L25:L30" si="5">AL49</f>
        <v>Schroterei, Würzekühlung</v>
      </c>
      <c r="M25" s="1937"/>
      <c r="N25" s="1938"/>
      <c r="O25" s="1271"/>
      <c r="P25" s="1272"/>
      <c r="Q25" s="1273">
        <f>$E$19*AM49</f>
        <v>0</v>
      </c>
      <c r="R25" s="675"/>
      <c r="AA25" s="25"/>
      <c r="AB25" s="80"/>
      <c r="AC25" s="896"/>
      <c r="AD25" s="100"/>
      <c r="AE25" s="81"/>
      <c r="AF25" s="81"/>
      <c r="AG25" s="81"/>
      <c r="AH25" s="675"/>
      <c r="AL25" s="36" t="s">
        <v>393</v>
      </c>
      <c r="AM25" s="15">
        <v>8.0000000000000002E-3</v>
      </c>
      <c r="AN25" s="15">
        <v>8.0000000000000002E-3</v>
      </c>
      <c r="AO25" s="21">
        <v>2.5000000000000001E-2</v>
      </c>
    </row>
    <row r="26" spans="2:48" ht="18" customHeight="1" thickBot="1" x14ac:dyDescent="0.3">
      <c r="B26" s="24"/>
      <c r="C26" s="1881" t="str">
        <f t="shared" si="4"/>
        <v>Abfüllung</v>
      </c>
      <c r="D26" s="1923"/>
      <c r="E26" s="1222"/>
      <c r="F26" s="1234">
        <f t="shared" si="3"/>
        <v>0</v>
      </c>
      <c r="G26" s="1235">
        <f t="shared" si="3"/>
        <v>0</v>
      </c>
      <c r="H26" s="1236">
        <f t="shared" si="3"/>
        <v>0</v>
      </c>
      <c r="I26" s="24"/>
      <c r="K26" s="25"/>
      <c r="L26" s="1936" t="str">
        <f t="shared" si="5"/>
        <v>Kälteanlage</v>
      </c>
      <c r="M26" s="1937"/>
      <c r="N26" s="1938"/>
      <c r="O26" s="1271"/>
      <c r="P26" s="1272"/>
      <c r="Q26" s="1273">
        <f>$E$19*AM50</f>
        <v>0</v>
      </c>
      <c r="R26" s="675"/>
      <c r="AA26" s="25"/>
      <c r="AB26" s="209"/>
      <c r="AC26" s="896"/>
      <c r="AD26" s="896"/>
      <c r="AE26" s="713"/>
      <c r="AF26" s="713"/>
      <c r="AG26" s="713"/>
      <c r="AH26" s="675"/>
      <c r="AL26" s="36" t="s">
        <v>394</v>
      </c>
      <c r="AM26" s="15">
        <v>2.1999999999999999E-2</v>
      </c>
      <c r="AN26" s="15">
        <v>1.0999999999999999E-2</v>
      </c>
      <c r="AO26" s="21">
        <v>2.1000000000000001E-2</v>
      </c>
    </row>
    <row r="27" spans="2:48" ht="18" customHeight="1" x14ac:dyDescent="0.2">
      <c r="B27" s="24"/>
      <c r="C27" s="1881" t="str">
        <f t="shared" si="4"/>
        <v>Dampfkessel, Kesselhaus</v>
      </c>
      <c r="D27" s="1923"/>
      <c r="E27" s="1223"/>
      <c r="F27" s="1234">
        <f t="shared" si="3"/>
        <v>0</v>
      </c>
      <c r="G27" s="1235">
        <f t="shared" si="3"/>
        <v>0</v>
      </c>
      <c r="H27" s="1236">
        <f t="shared" si="3"/>
        <v>0</v>
      </c>
      <c r="I27" s="24"/>
      <c r="K27" s="25"/>
      <c r="L27" s="1936" t="str">
        <f t="shared" si="5"/>
        <v>Abfüllung</v>
      </c>
      <c r="M27" s="1937"/>
      <c r="N27" s="1938"/>
      <c r="O27" s="1271"/>
      <c r="P27" s="1272"/>
      <c r="Q27" s="1273">
        <f>$E$19*AM51</f>
        <v>0</v>
      </c>
      <c r="R27" s="675"/>
      <c r="AA27" s="48"/>
      <c r="AB27" s="1717" t="s">
        <v>75</v>
      </c>
      <c r="AC27" s="1717"/>
      <c r="AD27" s="1717"/>
      <c r="AE27" s="1717"/>
      <c r="AF27" s="1717"/>
      <c r="AG27" s="33"/>
      <c r="AH27" s="674"/>
      <c r="AL27" s="36" t="s">
        <v>395</v>
      </c>
      <c r="AM27" s="15">
        <v>0.03</v>
      </c>
      <c r="AN27" s="15">
        <v>8.0000000000000002E-3</v>
      </c>
      <c r="AO27" s="21">
        <v>1.6E-2</v>
      </c>
    </row>
    <row r="28" spans="2:48" ht="18" customHeight="1" x14ac:dyDescent="0.2">
      <c r="B28" s="24"/>
      <c r="C28" s="1881" t="str">
        <f t="shared" si="4"/>
        <v>Kompressoren</v>
      </c>
      <c r="D28" s="1923"/>
      <c r="E28" s="1222"/>
      <c r="F28" s="1234">
        <f>$E$19*AM31</f>
        <v>0</v>
      </c>
      <c r="G28" s="1235"/>
      <c r="H28" s="1236"/>
      <c r="I28" s="24"/>
      <c r="K28" s="25"/>
      <c r="L28" s="1936" t="str">
        <f t="shared" si="5"/>
        <v>Kesselhaus</v>
      </c>
      <c r="M28" s="1937"/>
      <c r="N28" s="1938"/>
      <c r="O28" s="1271"/>
      <c r="P28" s="1272"/>
      <c r="Q28" s="1273">
        <f>$E$19*AM52</f>
        <v>0</v>
      </c>
      <c r="R28" s="675"/>
      <c r="AA28" s="25"/>
      <c r="AB28" s="1718" t="s">
        <v>79</v>
      </c>
      <c r="AC28" s="1718"/>
      <c r="AD28" s="1718"/>
      <c r="AE28" s="1718"/>
      <c r="AF28" s="1967"/>
      <c r="AG28" s="1559" t="s">
        <v>11</v>
      </c>
      <c r="AH28" s="675"/>
      <c r="AL28" s="36" t="s">
        <v>396</v>
      </c>
      <c r="AM28" s="15">
        <v>0.09</v>
      </c>
      <c r="AN28" s="15">
        <v>1.7000000000000001E-2</v>
      </c>
      <c r="AO28" s="21">
        <v>4.2000000000000003E-2</v>
      </c>
    </row>
    <row r="29" spans="2:48" ht="18" customHeight="1" thickBot="1" x14ac:dyDescent="0.25">
      <c r="B29" s="24"/>
      <c r="C29" s="1877" t="str">
        <f t="shared" si="4"/>
        <v>sonstige Reinigung</v>
      </c>
      <c r="D29" s="1912"/>
      <c r="E29" s="1224"/>
      <c r="F29" s="1237">
        <f>$E$19*AM32</f>
        <v>0</v>
      </c>
      <c r="G29" s="1238">
        <f>$E$19*AN32</f>
        <v>0</v>
      </c>
      <c r="H29" s="1239">
        <f>$E$19*AO32</f>
        <v>0</v>
      </c>
      <c r="I29" s="24"/>
      <c r="K29" s="25"/>
      <c r="L29" s="1987" t="str">
        <f t="shared" si="5"/>
        <v>Diverse</v>
      </c>
      <c r="M29" s="1988"/>
      <c r="N29" s="1989"/>
      <c r="O29" s="1274"/>
      <c r="P29" s="1275"/>
      <c r="Q29" s="1276">
        <f>$E$19*AM53</f>
        <v>0</v>
      </c>
      <c r="R29" s="675"/>
      <c r="AA29" s="1101"/>
      <c r="AB29" s="1967" t="s">
        <v>264</v>
      </c>
      <c r="AC29" s="1977"/>
      <c r="AD29" s="1977"/>
      <c r="AE29" s="1977"/>
      <c r="AF29" s="1977"/>
      <c r="AG29" s="1559" t="s">
        <v>11</v>
      </c>
      <c r="AH29" s="1102"/>
      <c r="AL29" s="36" t="s">
        <v>354</v>
      </c>
      <c r="AM29" s="15">
        <v>3.5999999999999997E-2</v>
      </c>
      <c r="AN29" s="15">
        <v>0.1</v>
      </c>
      <c r="AO29" s="21">
        <f>AO$19/AN$19*AN29</f>
        <v>0.15900000000000003</v>
      </c>
    </row>
    <row r="30" spans="2:48" ht="18" customHeight="1" thickBot="1" x14ac:dyDescent="0.25">
      <c r="B30" s="24"/>
      <c r="C30" s="1943" t="s">
        <v>260</v>
      </c>
      <c r="D30" s="1944"/>
      <c r="E30" s="1240"/>
      <c r="F30" s="1241">
        <f>SUM(F21:F29)</f>
        <v>0</v>
      </c>
      <c r="G30" s="1242">
        <f t="shared" ref="G30:H30" si="6">SUM(G21:G29)</f>
        <v>0</v>
      </c>
      <c r="H30" s="1243">
        <f t="shared" si="6"/>
        <v>0</v>
      </c>
      <c r="I30" s="24"/>
      <c r="K30" s="25"/>
      <c r="L30" s="1984" t="str">
        <f t="shared" si="5"/>
        <v>Total</v>
      </c>
      <c r="M30" s="1985"/>
      <c r="N30" s="1986"/>
      <c r="O30" s="1277">
        <f>SUM(O19:O29)</f>
        <v>0</v>
      </c>
      <c r="P30" s="1278">
        <f>SUM(P19:P29)</f>
        <v>0</v>
      </c>
      <c r="Q30" s="1279">
        <f>SUM(Q25:Q29)</f>
        <v>0</v>
      </c>
      <c r="R30" s="675"/>
      <c r="AA30" s="1101"/>
      <c r="AB30" s="1716" t="s">
        <v>186</v>
      </c>
      <c r="AC30" s="1716"/>
      <c r="AD30" s="1716"/>
      <c r="AE30" s="1716"/>
      <c r="AF30" s="1730"/>
      <c r="AG30" s="1559" t="s">
        <v>11</v>
      </c>
      <c r="AH30" s="1102"/>
      <c r="AL30" s="36" t="s">
        <v>420</v>
      </c>
      <c r="AM30" s="15">
        <v>0.05</v>
      </c>
      <c r="AN30" s="15">
        <v>5.0000000000000001E-4</v>
      </c>
      <c r="AO30" s="1213">
        <v>1E-3</v>
      </c>
    </row>
    <row r="31" spans="2:48" ht="18" customHeight="1" x14ac:dyDescent="0.2">
      <c r="B31" s="26"/>
      <c r="C31" s="1945" t="s">
        <v>351</v>
      </c>
      <c r="D31" s="1946"/>
      <c r="E31" s="1947"/>
      <c r="F31" s="1576"/>
      <c r="G31" s="1577"/>
      <c r="H31" s="1578"/>
      <c r="I31" s="24"/>
      <c r="K31" s="25"/>
      <c r="L31" s="1287"/>
      <c r="M31" s="1287"/>
      <c r="N31" s="1287"/>
      <c r="O31" s="1291"/>
      <c r="P31" s="1291"/>
      <c r="Q31" s="1291"/>
      <c r="R31" s="675"/>
      <c r="AA31" s="25"/>
      <c r="AB31" s="1730" t="s">
        <v>267</v>
      </c>
      <c r="AC31" s="1976"/>
      <c r="AD31" s="1976"/>
      <c r="AE31" s="1976"/>
      <c r="AF31" s="1976"/>
      <c r="AG31" s="1559" t="s">
        <v>11</v>
      </c>
      <c r="AH31" s="675"/>
      <c r="AL31" s="36" t="s">
        <v>397</v>
      </c>
      <c r="AM31" s="15">
        <v>0.01</v>
      </c>
      <c r="AN31" s="15"/>
      <c r="AO31" s="21"/>
    </row>
    <row r="32" spans="2:48" ht="18" customHeight="1" thickBot="1" x14ac:dyDescent="0.25">
      <c r="B32" s="26"/>
      <c r="C32" s="1948" t="s">
        <v>125</v>
      </c>
      <c r="D32" s="1949"/>
      <c r="E32" s="1950"/>
      <c r="F32" s="322" t="e">
        <f>F31/F30</f>
        <v>#DIV/0!</v>
      </c>
      <c r="G32" s="323" t="e">
        <f>G31/G30</f>
        <v>#DIV/0!</v>
      </c>
      <c r="H32" s="324" t="e">
        <f>H31/H30</f>
        <v>#DIV/0!</v>
      </c>
      <c r="I32" s="24"/>
      <c r="K32" s="25"/>
      <c r="L32" s="1287"/>
      <c r="M32" s="1287"/>
      <c r="N32" s="1287"/>
      <c r="O32" s="1280"/>
      <c r="P32" s="1280"/>
      <c r="Q32" s="1280"/>
      <c r="R32" s="675"/>
      <c r="AA32" s="25"/>
      <c r="AB32" s="1730" t="s">
        <v>80</v>
      </c>
      <c r="AC32" s="1976"/>
      <c r="AD32" s="1976"/>
      <c r="AE32" s="1976"/>
      <c r="AF32" s="1976"/>
      <c r="AG32" s="1559" t="s">
        <v>11</v>
      </c>
      <c r="AH32" s="675"/>
      <c r="AL32" s="39" t="s">
        <v>398</v>
      </c>
      <c r="AM32" s="17">
        <v>0.02</v>
      </c>
      <c r="AN32" s="17">
        <v>0.02</v>
      </c>
      <c r="AO32" s="23">
        <f>AO$19/AN$19*AN32</f>
        <v>3.1800000000000002E-2</v>
      </c>
    </row>
    <row r="33" spans="2:46" ht="18" customHeight="1" thickBot="1" x14ac:dyDescent="0.3">
      <c r="B33" s="26"/>
      <c r="C33" s="1868" t="s">
        <v>124</v>
      </c>
      <c r="D33" s="1869"/>
      <c r="E33" s="1869"/>
      <c r="F33" s="30" t="e">
        <f>IF(F32&gt;0,IF(F32&lt;=Gut,"gut",IF(F32&lt;=Potential,"Potential","Bedarf")),"")</f>
        <v>#DIV/0!</v>
      </c>
      <c r="G33" s="31" t="e">
        <f>IF(G32&gt;0,IF(G32&lt;=Gut,"gut",IF(G32&lt;=Potential,"Potential","Bedarf")),"")</f>
        <v>#DIV/0!</v>
      </c>
      <c r="H33" s="32" t="e">
        <f>IF(H32&gt;0,IF(H32&lt;=Gut,"gut",IF(H32&lt;=Potential,"Potential","Bedarf")),"")</f>
        <v>#DIV/0!</v>
      </c>
      <c r="I33" s="24"/>
      <c r="K33" s="25"/>
      <c r="L33" s="1281" t="s">
        <v>556</v>
      </c>
      <c r="M33" s="1282"/>
      <c r="N33" s="1159" t="s">
        <v>260</v>
      </c>
      <c r="O33" s="1288" t="s">
        <v>552</v>
      </c>
      <c r="P33" s="529" t="s">
        <v>555</v>
      </c>
      <c r="Q33" s="26"/>
      <c r="R33" s="675"/>
      <c r="T33" s="399"/>
      <c r="U33" s="399"/>
      <c r="V33" s="399"/>
      <c r="W33" s="399"/>
      <c r="X33" s="400"/>
      <c r="AA33" s="25"/>
      <c r="AB33" s="1730" t="s">
        <v>409</v>
      </c>
      <c r="AC33" s="1976"/>
      <c r="AD33" s="1976"/>
      <c r="AE33" s="1976"/>
      <c r="AF33" s="1976"/>
      <c r="AG33" s="1559" t="s">
        <v>11</v>
      </c>
      <c r="AH33" s="675"/>
      <c r="AL33" s="41"/>
      <c r="AM33" s="41"/>
      <c r="AN33" s="41"/>
      <c r="AO33" s="41"/>
    </row>
    <row r="34" spans="2:46" ht="18" customHeight="1" thickBot="1" x14ac:dyDescent="0.3">
      <c r="B34" s="26"/>
      <c r="C34" s="26"/>
      <c r="D34" s="26"/>
      <c r="E34" s="26"/>
      <c r="F34" s="26"/>
      <c r="G34" s="26"/>
      <c r="H34" s="26"/>
      <c r="I34" s="24"/>
      <c r="K34" s="25"/>
      <c r="L34" s="1283" t="s">
        <v>557</v>
      </c>
      <c r="M34" s="1284"/>
      <c r="N34" s="1557"/>
      <c r="O34" s="726">
        <f>N34*36</f>
        <v>0</v>
      </c>
      <c r="P34" s="727">
        <f>N34*10</f>
        <v>0</v>
      </c>
      <c r="Q34" s="26"/>
      <c r="R34" s="675"/>
      <c r="AA34" s="25"/>
      <c r="AB34" s="1162"/>
      <c r="AC34" s="1162"/>
      <c r="AD34" s="1162"/>
      <c r="AE34" s="677"/>
      <c r="AF34" s="677"/>
      <c r="AG34" s="26"/>
      <c r="AH34" s="675"/>
      <c r="AN34" s="41"/>
    </row>
    <row r="35" spans="2:46" ht="18" customHeight="1" thickBot="1" x14ac:dyDescent="0.3">
      <c r="B35" s="24"/>
      <c r="C35" s="482" t="s">
        <v>537</v>
      </c>
      <c r="D35" s="276"/>
      <c r="E35" s="276"/>
      <c r="F35" s="276"/>
      <c r="G35" s="276"/>
      <c r="H35" s="24"/>
      <c r="I35" s="24"/>
      <c r="K35" s="25"/>
      <c r="L35" s="1283" t="s">
        <v>558</v>
      </c>
      <c r="M35" s="1284"/>
      <c r="N35" s="1557"/>
      <c r="O35" s="1289">
        <f>N35*36</f>
        <v>0</v>
      </c>
      <c r="P35" s="791">
        <f>N35*10</f>
        <v>0</v>
      </c>
      <c r="Q35" s="26"/>
      <c r="R35" s="675"/>
      <c r="AA35" s="48"/>
      <c r="AB35" s="1163" t="s">
        <v>63</v>
      </c>
      <c r="AC35" s="1298"/>
      <c r="AD35" s="1298"/>
      <c r="AE35" s="1299"/>
      <c r="AF35" s="1299"/>
      <c r="AG35" s="33"/>
      <c r="AH35" s="674"/>
      <c r="AL35" s="316" t="s">
        <v>355</v>
      </c>
      <c r="AM35" s="1959" t="s">
        <v>357</v>
      </c>
      <c r="AN35" s="1960"/>
      <c r="AO35" s="1960"/>
      <c r="AP35" s="1960"/>
      <c r="AQ35" s="1958" t="s">
        <v>402</v>
      </c>
      <c r="AR35" s="1952"/>
      <c r="AS35" s="1952"/>
      <c r="AT35" s="1953"/>
    </row>
    <row r="36" spans="2:46" ht="18" customHeight="1" thickBot="1" x14ac:dyDescent="0.3">
      <c r="B36" s="24"/>
      <c r="C36" s="24"/>
      <c r="D36" s="24"/>
      <c r="E36" s="24"/>
      <c r="F36" s="24"/>
      <c r="G36" s="1596" t="s">
        <v>1243</v>
      </c>
      <c r="H36" s="24"/>
      <c r="I36" s="24"/>
      <c r="K36" s="25"/>
      <c r="L36" s="1285" t="s">
        <v>559</v>
      </c>
      <c r="M36" s="1286"/>
      <c r="N36" s="1558"/>
      <c r="O36" s="276"/>
      <c r="P36" s="277"/>
      <c r="Q36" s="26"/>
      <c r="R36" s="675"/>
      <c r="S36" s="310"/>
      <c r="AA36" s="25"/>
      <c r="AB36" s="1716" t="s">
        <v>73</v>
      </c>
      <c r="AC36" s="1716"/>
      <c r="AD36" s="1716"/>
      <c r="AE36" s="1716"/>
      <c r="AF36" s="1716"/>
      <c r="AG36" s="1559" t="s">
        <v>11</v>
      </c>
      <c r="AH36" s="675"/>
      <c r="AL36" s="1212" t="s">
        <v>942</v>
      </c>
      <c r="AM36" s="1954" t="s">
        <v>406</v>
      </c>
      <c r="AN36" s="1961"/>
      <c r="AO36" s="1961"/>
      <c r="AP36" s="1961"/>
      <c r="AQ36" s="1962" t="s">
        <v>360</v>
      </c>
      <c r="AR36" s="1961"/>
      <c r="AS36" s="1961"/>
      <c r="AT36" s="1955"/>
    </row>
    <row r="37" spans="2:46" ht="18" customHeight="1" thickBot="1" x14ac:dyDescent="0.25">
      <c r="B37" s="24"/>
      <c r="C37" s="452" t="s">
        <v>521</v>
      </c>
      <c r="D37" s="456">
        <f>IF(F30&gt;0,F31-F30,0)</f>
        <v>0</v>
      </c>
      <c r="E37" s="719" t="s">
        <v>529</v>
      </c>
      <c r="F37" s="456">
        <f>IF(F30&gt;0,D37*G37,0)</f>
        <v>0</v>
      </c>
      <c r="G37" s="1599">
        <v>4</v>
      </c>
      <c r="H37" s="24"/>
      <c r="I37" s="24"/>
      <c r="K37" s="25"/>
      <c r="L37" s="432" t="s">
        <v>957</v>
      </c>
      <c r="M37" s="276"/>
      <c r="N37" s="276"/>
      <c r="O37" s="277"/>
      <c r="P37" s="276"/>
      <c r="Q37" s="26"/>
      <c r="R37" s="675"/>
      <c r="S37" s="310"/>
      <c r="AA37" s="25"/>
      <c r="AB37" s="1716" t="s">
        <v>69</v>
      </c>
      <c r="AC37" s="1716"/>
      <c r="AD37" s="1716"/>
      <c r="AE37" s="1716"/>
      <c r="AF37" s="1716"/>
      <c r="AG37" s="1559" t="s">
        <v>11</v>
      </c>
      <c r="AH37" s="675"/>
      <c r="AL37" s="39"/>
      <c r="AM37" s="17" t="s">
        <v>362</v>
      </c>
      <c r="AN37" s="17" t="s">
        <v>363</v>
      </c>
      <c r="AO37" s="347" t="s">
        <v>364</v>
      </c>
      <c r="AP37" s="50" t="s">
        <v>365</v>
      </c>
      <c r="AQ37" s="331" t="s">
        <v>362</v>
      </c>
      <c r="AR37" s="17" t="s">
        <v>363</v>
      </c>
      <c r="AS37" s="347" t="s">
        <v>364</v>
      </c>
      <c r="AT37" s="18" t="s">
        <v>365</v>
      </c>
    </row>
    <row r="38" spans="2:46" ht="18" customHeight="1" thickBot="1" x14ac:dyDescent="0.25">
      <c r="B38" s="24"/>
      <c r="C38" s="137"/>
      <c r="D38" s="137"/>
      <c r="E38" s="137"/>
      <c r="F38" s="137"/>
      <c r="G38" s="452"/>
      <c r="H38" s="24"/>
      <c r="I38" s="24"/>
      <c r="K38" s="25"/>
      <c r="L38" s="276"/>
      <c r="M38" s="26"/>
      <c r="N38" s="26"/>
      <c r="O38" s="26"/>
      <c r="P38" s="26"/>
      <c r="Q38" s="276"/>
      <c r="R38" s="675"/>
      <c r="S38" s="310"/>
      <c r="AA38" s="25"/>
      <c r="AB38" s="1716" t="s">
        <v>410</v>
      </c>
      <c r="AC38" s="1716"/>
      <c r="AD38" s="1716"/>
      <c r="AE38" s="1716"/>
      <c r="AF38" s="1716"/>
      <c r="AG38" s="1559" t="s">
        <v>11</v>
      </c>
      <c r="AH38" s="675"/>
      <c r="AL38" s="319" t="s">
        <v>347</v>
      </c>
      <c r="AM38" s="320">
        <v>50</v>
      </c>
      <c r="AN38" s="320">
        <v>80</v>
      </c>
      <c r="AO38" s="348">
        <v>50</v>
      </c>
      <c r="AP38" s="329">
        <v>47</v>
      </c>
      <c r="AQ38" s="335">
        <f t="shared" ref="AQ38:AT43" si="7">AM38/3.6</f>
        <v>13.888888888888889</v>
      </c>
      <c r="AR38" s="336">
        <f t="shared" si="7"/>
        <v>22.222222222222221</v>
      </c>
      <c r="AS38" s="352">
        <f t="shared" si="7"/>
        <v>13.888888888888889</v>
      </c>
      <c r="AT38" s="337">
        <f t="shared" si="7"/>
        <v>13.055555555555555</v>
      </c>
    </row>
    <row r="39" spans="2:46" ht="18" customHeight="1" thickBot="1" x14ac:dyDescent="0.25">
      <c r="B39" s="24"/>
      <c r="C39" s="452" t="s">
        <v>755</v>
      </c>
      <c r="D39" s="697"/>
      <c r="E39" s="719" t="s">
        <v>754</v>
      </c>
      <c r="F39" s="456">
        <f>((F31*G60)-(F30*G61))*G37</f>
        <v>0</v>
      </c>
      <c r="G39" s="276"/>
      <c r="H39" s="24"/>
      <c r="I39" s="24"/>
      <c r="K39" s="25"/>
      <c r="L39" s="276"/>
      <c r="M39" s="1151"/>
      <c r="N39" s="1151"/>
      <c r="O39" s="469" t="s">
        <v>634</v>
      </c>
      <c r="P39" s="1160" t="s">
        <v>565</v>
      </c>
      <c r="Q39" s="809" t="s">
        <v>666</v>
      </c>
      <c r="R39" s="675"/>
      <c r="S39" s="310"/>
      <c r="AA39" s="25"/>
      <c r="AB39" s="1716" t="s">
        <v>190</v>
      </c>
      <c r="AC39" s="1716"/>
      <c r="AD39" s="1716"/>
      <c r="AE39" s="1716"/>
      <c r="AF39" s="1716"/>
      <c r="AG39" s="1559" t="s">
        <v>11</v>
      </c>
      <c r="AH39" s="675"/>
      <c r="AL39" s="36" t="s">
        <v>352</v>
      </c>
      <c r="AM39" s="15">
        <v>8</v>
      </c>
      <c r="AN39" s="15">
        <v>17</v>
      </c>
      <c r="AO39" s="349">
        <v>8</v>
      </c>
      <c r="AP39" s="49">
        <v>6</v>
      </c>
      <c r="AQ39" s="338">
        <f t="shared" si="7"/>
        <v>2.2222222222222223</v>
      </c>
      <c r="AR39" s="339">
        <f t="shared" si="7"/>
        <v>4.7222222222222223</v>
      </c>
      <c r="AS39" s="352">
        <f t="shared" si="7"/>
        <v>2.2222222222222223</v>
      </c>
      <c r="AT39" s="337">
        <f t="shared" si="7"/>
        <v>1.6666666666666665</v>
      </c>
    </row>
    <row r="40" spans="2:46" ht="18" customHeight="1" x14ac:dyDescent="0.2">
      <c r="B40" s="24"/>
      <c r="C40" s="24"/>
      <c r="D40" s="24"/>
      <c r="E40" s="24"/>
      <c r="F40" s="24"/>
      <c r="G40" s="24"/>
      <c r="H40" s="24"/>
      <c r="I40" s="24"/>
      <c r="K40" s="25"/>
      <c r="L40" s="276"/>
      <c r="M40" s="1974" t="s">
        <v>672</v>
      </c>
      <c r="N40" s="1975"/>
      <c r="O40" s="726">
        <f>O30</f>
        <v>0</v>
      </c>
      <c r="P40" s="805">
        <f>Q30</f>
        <v>0</v>
      </c>
      <c r="Q40" s="810">
        <f>P30+Q30</f>
        <v>0</v>
      </c>
      <c r="R40" s="675"/>
      <c r="S40" s="1292"/>
      <c r="AA40" s="25"/>
      <c r="AB40" s="1981" t="s">
        <v>72</v>
      </c>
      <c r="AC40" s="1982"/>
      <c r="AD40" s="1982"/>
      <c r="AE40" s="1982"/>
      <c r="AF40" s="1982"/>
      <c r="AG40" s="1559" t="s">
        <v>11</v>
      </c>
      <c r="AH40" s="675"/>
      <c r="AL40" s="36" t="s">
        <v>353</v>
      </c>
      <c r="AM40" s="15">
        <v>4</v>
      </c>
      <c r="AN40" s="15">
        <v>8</v>
      </c>
      <c r="AO40" s="349">
        <v>3</v>
      </c>
      <c r="AP40" s="49">
        <v>2</v>
      </c>
      <c r="AQ40" s="338">
        <f t="shared" si="7"/>
        <v>1.1111111111111112</v>
      </c>
      <c r="AR40" s="339">
        <f t="shared" si="7"/>
        <v>2.2222222222222223</v>
      </c>
      <c r="AS40" s="353">
        <f t="shared" si="7"/>
        <v>0.83333333333333326</v>
      </c>
      <c r="AT40" s="340">
        <f t="shared" si="7"/>
        <v>0.55555555555555558</v>
      </c>
    </row>
    <row r="41" spans="2:46" ht="18" customHeight="1" thickBot="1" x14ac:dyDescent="0.4">
      <c r="B41" s="24"/>
      <c r="C41" s="207" t="s">
        <v>996</v>
      </c>
      <c r="D41" s="207"/>
      <c r="E41" s="207"/>
      <c r="F41" s="207"/>
      <c r="G41" s="207"/>
      <c r="H41" s="276"/>
      <c r="I41" s="24"/>
      <c r="K41" s="25"/>
      <c r="L41" s="276"/>
      <c r="M41" s="1152" t="s">
        <v>673</v>
      </c>
      <c r="N41" s="1153"/>
      <c r="O41" s="726">
        <f>O34+O35</f>
        <v>0</v>
      </c>
      <c r="P41" s="805">
        <f>N36</f>
        <v>0</v>
      </c>
      <c r="Q41" s="810">
        <f>O41*0.27778+P41</f>
        <v>0</v>
      </c>
      <c r="R41" s="675"/>
      <c r="S41" s="310"/>
      <c r="AA41" s="25"/>
      <c r="AB41" s="1296"/>
      <c r="AC41" s="1296"/>
      <c r="AD41" s="1296"/>
      <c r="AE41" s="1296"/>
      <c r="AF41" s="1296"/>
      <c r="AG41" s="1297"/>
      <c r="AH41" s="675"/>
      <c r="AL41" s="36" t="s">
        <v>366</v>
      </c>
      <c r="AM41" s="15">
        <v>38</v>
      </c>
      <c r="AN41" s="15">
        <v>58</v>
      </c>
      <c r="AO41" s="349">
        <v>31</v>
      </c>
      <c r="AP41" s="49">
        <v>31</v>
      </c>
      <c r="AQ41" s="338">
        <f t="shared" si="7"/>
        <v>10.555555555555555</v>
      </c>
      <c r="AR41" s="339">
        <f t="shared" si="7"/>
        <v>16.111111111111111</v>
      </c>
      <c r="AS41" s="353">
        <f t="shared" si="7"/>
        <v>8.6111111111111107</v>
      </c>
      <c r="AT41" s="340">
        <f t="shared" si="7"/>
        <v>8.6111111111111107</v>
      </c>
    </row>
    <row r="42" spans="2:46" ht="18" customHeight="1" thickBot="1" x14ac:dyDescent="0.25">
      <c r="B42" s="24"/>
      <c r="C42" s="207" t="s">
        <v>997</v>
      </c>
      <c r="D42" s="207"/>
      <c r="E42" s="207"/>
      <c r="F42" s="456">
        <f>IF(F30&gt;0,G67,0)</f>
        <v>0</v>
      </c>
      <c r="G42" s="1366" t="s">
        <v>1004</v>
      </c>
      <c r="H42" s="24"/>
      <c r="I42" s="24"/>
      <c r="K42" s="25"/>
      <c r="L42" s="276"/>
      <c r="M42" s="1155" t="s">
        <v>670</v>
      </c>
      <c r="N42" s="1156"/>
      <c r="O42" s="506" t="e">
        <f>O41/O40</f>
        <v>#DIV/0!</v>
      </c>
      <c r="P42" s="807" t="e">
        <f>P41/P40</f>
        <v>#DIV/0!</v>
      </c>
      <c r="Q42" s="811" t="e">
        <f>Q41/Q40</f>
        <v>#DIV/0!</v>
      </c>
      <c r="R42" s="675"/>
      <c r="S42" s="310"/>
      <c r="AA42" s="48"/>
      <c r="AB42" s="1163" t="s">
        <v>192</v>
      </c>
      <c r="AC42" s="1298"/>
      <c r="AD42" s="1298"/>
      <c r="AE42" s="1299"/>
      <c r="AF42" s="1299"/>
      <c r="AG42" s="33"/>
      <c r="AH42" s="674"/>
      <c r="AL42" s="36" t="s">
        <v>367</v>
      </c>
      <c r="AM42" s="15">
        <v>8</v>
      </c>
      <c r="AN42" s="15">
        <v>13</v>
      </c>
      <c r="AO42" s="349">
        <v>8</v>
      </c>
      <c r="AP42" s="49">
        <v>6</v>
      </c>
      <c r="AQ42" s="338">
        <f t="shared" si="7"/>
        <v>2.2222222222222223</v>
      </c>
      <c r="AR42" s="339">
        <f t="shared" si="7"/>
        <v>3.6111111111111112</v>
      </c>
      <c r="AS42" s="353">
        <f t="shared" si="7"/>
        <v>2.2222222222222223</v>
      </c>
      <c r="AT42" s="340">
        <f t="shared" si="7"/>
        <v>1.6666666666666665</v>
      </c>
    </row>
    <row r="43" spans="2:46" ht="18" customHeight="1" thickBot="1" x14ac:dyDescent="0.25">
      <c r="B43" s="24"/>
      <c r="C43" s="276"/>
      <c r="D43" s="276"/>
      <c r="E43" s="1334"/>
      <c r="F43" s="276"/>
      <c r="G43" s="276"/>
      <c r="H43" s="1366"/>
      <c r="I43" s="24"/>
      <c r="K43" s="25"/>
      <c r="L43" s="722"/>
      <c r="M43" s="1157" t="s">
        <v>59</v>
      </c>
      <c r="N43" s="1158"/>
      <c r="O43" s="806" t="e">
        <f>IF(O42&gt;0,IF(O42&lt;=Gut,"gut",IF(O42&lt;=Potential,"Potential","Bedarf")),"")</f>
        <v>#DIV/0!</v>
      </c>
      <c r="P43" s="808" t="e">
        <f>IF(P42&gt;0,IF(P42&lt;=Gut,"gut",IF(P42&lt;=Potential,"Potential","Bedarf")),"")</f>
        <v>#DIV/0!</v>
      </c>
      <c r="Q43" s="812" t="e">
        <f>IF(Q42&gt;0,IF(Q42&lt;=Gut,"gut",IF(Q42&lt;=Potential,"Potential","Bedarf")),"")</f>
        <v>#DIV/0!</v>
      </c>
      <c r="R43" s="675"/>
      <c r="S43" s="310"/>
      <c r="AA43" s="25"/>
      <c r="AB43" s="1730" t="s">
        <v>388</v>
      </c>
      <c r="AC43" s="1976"/>
      <c r="AD43" s="1976"/>
      <c r="AE43" s="1976"/>
      <c r="AF43" s="1976"/>
      <c r="AG43" s="1559" t="s">
        <v>11</v>
      </c>
      <c r="AH43" s="675"/>
      <c r="AL43" s="83" t="s">
        <v>181</v>
      </c>
      <c r="AM43" s="84">
        <v>33</v>
      </c>
      <c r="AN43" s="84">
        <v>46</v>
      </c>
      <c r="AO43" s="350">
        <v>30</v>
      </c>
      <c r="AP43" s="330">
        <v>20</v>
      </c>
      <c r="AQ43" s="341">
        <f t="shared" si="7"/>
        <v>9.1666666666666661</v>
      </c>
      <c r="AR43" s="342">
        <f t="shared" si="7"/>
        <v>12.777777777777777</v>
      </c>
      <c r="AS43" s="89">
        <f t="shared" si="7"/>
        <v>8.3333333333333339</v>
      </c>
      <c r="AT43" s="343">
        <f t="shared" si="7"/>
        <v>5.5555555555555554</v>
      </c>
    </row>
    <row r="44" spans="2:46" ht="18" customHeight="1" thickBot="1" x14ac:dyDescent="0.3">
      <c r="K44" s="25"/>
      <c r="L44" s="276"/>
      <c r="M44" s="26"/>
      <c r="N44" s="26"/>
      <c r="O44" s="26"/>
      <c r="P44" s="26"/>
      <c r="Q44" s="276"/>
      <c r="R44" s="675"/>
      <c r="AA44" s="25"/>
      <c r="AB44" s="1730" t="s">
        <v>419</v>
      </c>
      <c r="AC44" s="1976"/>
      <c r="AD44" s="1976"/>
      <c r="AE44" s="1976"/>
      <c r="AF44" s="1976"/>
      <c r="AG44" s="1559" t="s">
        <v>11</v>
      </c>
      <c r="AH44" s="675"/>
      <c r="AL44" s="332" t="s">
        <v>260</v>
      </c>
      <c r="AM44" s="333">
        <f>SUM(AM38:AM43)</f>
        <v>141</v>
      </c>
      <c r="AN44" s="333">
        <f>SUM(AN38:AN43)</f>
        <v>222</v>
      </c>
      <c r="AO44" s="351">
        <f>SUM(AO38:AO43)</f>
        <v>130</v>
      </c>
      <c r="AP44" s="334">
        <f>SUM(AP38:AP43)</f>
        <v>112</v>
      </c>
      <c r="AQ44" s="344">
        <f>AM44/3.6</f>
        <v>39.166666666666664</v>
      </c>
      <c r="AR44" s="345">
        <f>SUM(AR38:AR43)</f>
        <v>61.666666666666664</v>
      </c>
      <c r="AS44" s="354">
        <f>SUM(AS38:AS43)</f>
        <v>36.111111111111107</v>
      </c>
      <c r="AT44" s="346">
        <f>SUM(AT38:AT43)</f>
        <v>31.111111111111107</v>
      </c>
    </row>
    <row r="45" spans="2:46" ht="18" customHeight="1" thickBot="1" x14ac:dyDescent="0.25">
      <c r="K45" s="25"/>
      <c r="L45" s="482" t="s">
        <v>560</v>
      </c>
      <c r="M45" s="276"/>
      <c r="N45" s="276"/>
      <c r="O45" s="276"/>
      <c r="P45" s="276"/>
      <c r="Q45" s="276"/>
      <c r="R45" s="675"/>
      <c r="AA45" s="25"/>
      <c r="AB45" s="1730" t="s">
        <v>381</v>
      </c>
      <c r="AC45" s="1976"/>
      <c r="AD45" s="1976"/>
      <c r="AE45" s="1976"/>
      <c r="AF45" s="1976"/>
      <c r="AG45" s="1559" t="s">
        <v>11</v>
      </c>
      <c r="AH45" s="675"/>
      <c r="AQ45" s="309"/>
    </row>
    <row r="46" spans="2:46" ht="18" customHeight="1" x14ac:dyDescent="0.25">
      <c r="B46" s="880"/>
      <c r="C46" s="1161" t="s">
        <v>736</v>
      </c>
      <c r="D46" s="1161"/>
      <c r="E46" s="1161"/>
      <c r="F46" s="1161"/>
      <c r="G46" s="1161"/>
      <c r="H46" s="1161"/>
      <c r="I46" s="881"/>
      <c r="K46" s="25"/>
      <c r="L46" s="26"/>
      <c r="M46" s="276"/>
      <c r="N46" s="276"/>
      <c r="O46" s="276"/>
      <c r="P46" s="276"/>
      <c r="Q46" s="276"/>
      <c r="R46" s="675"/>
      <c r="AA46" s="25"/>
      <c r="AB46" s="1730" t="s">
        <v>107</v>
      </c>
      <c r="AC46" s="1976"/>
      <c r="AD46" s="1976"/>
      <c r="AE46" s="1976"/>
      <c r="AF46" s="1976"/>
      <c r="AG46" s="1559" t="s">
        <v>11</v>
      </c>
      <c r="AH46" s="675"/>
      <c r="AL46" s="316" t="s">
        <v>355</v>
      </c>
      <c r="AM46" s="19" t="s">
        <v>356</v>
      </c>
      <c r="AN46" s="12"/>
      <c r="AP46" s="1951" t="s">
        <v>939</v>
      </c>
      <c r="AQ46" s="1952"/>
      <c r="AR46" s="1953"/>
    </row>
    <row r="47" spans="2:46" ht="18" customHeight="1" x14ac:dyDescent="0.25">
      <c r="B47" s="1617" t="s">
        <v>756</v>
      </c>
      <c r="C47" s="1618"/>
      <c r="D47" s="1618"/>
      <c r="E47" s="1618"/>
      <c r="F47" s="1618"/>
      <c r="G47" s="1618"/>
      <c r="H47" s="1618"/>
      <c r="I47" s="1619"/>
      <c r="K47" s="25"/>
      <c r="L47" s="722" t="s">
        <v>545</v>
      </c>
      <c r="M47" s="723"/>
      <c r="N47" s="456">
        <f>IF(O30&gt;0,O41-O40,0)</f>
        <v>0</v>
      </c>
      <c r="O47" s="719" t="s">
        <v>529</v>
      </c>
      <c r="P47" s="456">
        <f>IF(O30&gt;0,N47/36*0.6,0)</f>
        <v>0</v>
      </c>
      <c r="Q47" s="722" t="s">
        <v>563</v>
      </c>
      <c r="R47" s="675"/>
      <c r="AA47" s="25"/>
      <c r="AB47" s="1730" t="s">
        <v>469</v>
      </c>
      <c r="AC47" s="1976"/>
      <c r="AD47" s="1976"/>
      <c r="AE47" s="1976"/>
      <c r="AF47" s="1976"/>
      <c r="AG47" s="1559" t="s">
        <v>11</v>
      </c>
      <c r="AH47" s="675"/>
      <c r="AL47" s="1212" t="s">
        <v>942</v>
      </c>
      <c r="AM47" s="1954" t="s">
        <v>360</v>
      </c>
      <c r="AN47" s="1955"/>
      <c r="AP47" s="36" t="s">
        <v>372</v>
      </c>
      <c r="AQ47" s="35" t="s">
        <v>941</v>
      </c>
      <c r="AR47" s="1131">
        <v>50000</v>
      </c>
      <c r="AS47" s="1210">
        <v>500000</v>
      </c>
      <c r="AT47" s="1211" t="s">
        <v>940</v>
      </c>
    </row>
    <row r="48" spans="2:46" ht="18" customHeight="1" x14ac:dyDescent="0.2">
      <c r="B48" s="1617"/>
      <c r="C48" s="1618"/>
      <c r="D48" s="1618"/>
      <c r="E48" s="1618"/>
      <c r="F48" s="1618"/>
      <c r="G48" s="1618"/>
      <c r="H48" s="1618"/>
      <c r="I48" s="1619"/>
      <c r="K48" s="25"/>
      <c r="L48" s="722" t="s">
        <v>561</v>
      </c>
      <c r="M48" s="723"/>
      <c r="N48" s="456">
        <f>IF(Q30&gt;0,P41-P40,0)</f>
        <v>0</v>
      </c>
      <c r="O48" s="719" t="s">
        <v>529</v>
      </c>
      <c r="P48" s="456">
        <f>IF(Q30&gt;0,N48*0.2,0)</f>
        <v>0</v>
      </c>
      <c r="Q48" s="722" t="s">
        <v>562</v>
      </c>
      <c r="R48" s="675"/>
      <c r="AA48" s="25"/>
      <c r="AB48" s="1730" t="s">
        <v>275</v>
      </c>
      <c r="AC48" s="1976"/>
      <c r="AD48" s="1976"/>
      <c r="AE48" s="1976"/>
      <c r="AF48" s="1976"/>
      <c r="AG48" s="1559" t="s">
        <v>11</v>
      </c>
      <c r="AH48" s="675"/>
      <c r="AL48" s="36"/>
      <c r="AM48" s="349" t="s">
        <v>362</v>
      </c>
      <c r="AN48" s="16" t="s">
        <v>363</v>
      </c>
      <c r="AP48" s="1132" t="s">
        <v>360</v>
      </c>
      <c r="AQ48" s="35" t="s">
        <v>302</v>
      </c>
      <c r="AR48" s="211">
        <v>25</v>
      </c>
      <c r="AS48" s="1130">
        <v>15</v>
      </c>
      <c r="AT48" s="35">
        <v>8</v>
      </c>
    </row>
    <row r="49" spans="2:49" ht="18" customHeight="1" thickBot="1" x14ac:dyDescent="0.3">
      <c r="B49" s="882"/>
      <c r="C49" s="856"/>
      <c r="D49" s="856" t="s">
        <v>750</v>
      </c>
      <c r="E49" s="856" t="s">
        <v>751</v>
      </c>
      <c r="F49" s="399"/>
      <c r="G49" s="399"/>
      <c r="H49" s="399"/>
      <c r="I49" s="883"/>
      <c r="K49" s="29"/>
      <c r="L49" s="418"/>
      <c r="M49" s="418"/>
      <c r="N49" s="418"/>
      <c r="O49" s="418"/>
      <c r="P49" s="418"/>
      <c r="Q49" s="418"/>
      <c r="R49" s="679"/>
      <c r="AA49" s="25"/>
      <c r="AB49" s="1730" t="s">
        <v>61</v>
      </c>
      <c r="AC49" s="1976"/>
      <c r="AD49" s="1976"/>
      <c r="AE49" s="1976"/>
      <c r="AF49" s="1976"/>
      <c r="AG49" s="1559" t="s">
        <v>11</v>
      </c>
      <c r="AH49" s="675"/>
      <c r="AL49" s="36" t="s">
        <v>403</v>
      </c>
      <c r="AM49" s="349">
        <v>0.8</v>
      </c>
      <c r="AN49" s="16">
        <v>1.8</v>
      </c>
      <c r="AP49" s="36"/>
      <c r="AQ49" s="1128" t="s">
        <v>304</v>
      </c>
      <c r="AR49" s="1129">
        <v>39</v>
      </c>
      <c r="AS49" s="10">
        <v>30</v>
      </c>
      <c r="AT49" s="10">
        <v>25</v>
      </c>
    </row>
    <row r="50" spans="2:49" ht="18" customHeight="1" thickBot="1" x14ac:dyDescent="0.25">
      <c r="B50" s="882"/>
      <c r="C50" s="860" t="s">
        <v>737</v>
      </c>
      <c r="D50" s="1104">
        <f>F31</f>
        <v>0</v>
      </c>
      <c r="E50" s="876">
        <f>F30</f>
        <v>0</v>
      </c>
      <c r="F50" s="860" t="s">
        <v>738</v>
      </c>
      <c r="G50" s="1104">
        <f>E19*AP19</f>
        <v>0</v>
      </c>
      <c r="H50" s="1104">
        <f>E52/AT16*AT17</f>
        <v>0</v>
      </c>
      <c r="I50" s="883"/>
      <c r="AA50" s="25"/>
      <c r="AB50" s="1730" t="s">
        <v>67</v>
      </c>
      <c r="AC50" s="1976"/>
      <c r="AD50" s="1976"/>
      <c r="AE50" s="1976"/>
      <c r="AF50" s="1976"/>
      <c r="AG50" s="1559" t="s">
        <v>11</v>
      </c>
      <c r="AH50" s="675"/>
      <c r="AL50" s="36" t="s">
        <v>361</v>
      </c>
      <c r="AM50" s="349">
        <v>2.5</v>
      </c>
      <c r="AN50" s="16">
        <v>4</v>
      </c>
      <c r="AP50" s="39"/>
      <c r="AQ50" s="47" t="s">
        <v>415</v>
      </c>
      <c r="AR50" s="38">
        <v>15</v>
      </c>
    </row>
    <row r="51" spans="2:49" ht="18" customHeight="1" thickBot="1" x14ac:dyDescent="0.25">
      <c r="B51" s="882"/>
      <c r="C51" s="860" t="s">
        <v>739</v>
      </c>
      <c r="D51" s="861">
        <f>IF(H31&gt;0,H31,D52*2)</f>
        <v>0</v>
      </c>
      <c r="E51" s="876">
        <f>IF(H30&gt;0,H30,E52*2)</f>
        <v>0</v>
      </c>
      <c r="F51" s="860" t="s">
        <v>740</v>
      </c>
      <c r="G51" s="1104">
        <f>E19*AQ19</f>
        <v>0</v>
      </c>
      <c r="H51" s="1104">
        <f>E52/AT16*AT18</f>
        <v>0</v>
      </c>
      <c r="I51" s="883"/>
      <c r="AA51" s="25"/>
      <c r="AB51" s="1730" t="s">
        <v>68</v>
      </c>
      <c r="AC51" s="1976"/>
      <c r="AD51" s="1976"/>
      <c r="AE51" s="1976"/>
      <c r="AF51" s="1976"/>
      <c r="AG51" s="1559" t="s">
        <v>11</v>
      </c>
      <c r="AH51" s="675"/>
      <c r="AL51" s="36" t="s">
        <v>354</v>
      </c>
      <c r="AM51" s="349">
        <v>1.8</v>
      </c>
      <c r="AN51" s="16">
        <v>3.5</v>
      </c>
      <c r="AR51" s="311"/>
    </row>
    <row r="52" spans="2:49" ht="18" customHeight="1" thickBot="1" x14ac:dyDescent="0.25">
      <c r="B52" s="882"/>
      <c r="C52" s="860" t="s">
        <v>749</v>
      </c>
      <c r="D52" s="862">
        <f>G31</f>
        <v>0</v>
      </c>
      <c r="E52" s="876">
        <f>G30</f>
        <v>0</v>
      </c>
      <c r="F52" s="860" t="s">
        <v>741</v>
      </c>
      <c r="G52" s="1104">
        <f>E19*AR19</f>
        <v>0</v>
      </c>
      <c r="H52" s="1104">
        <f>E52/AT16*AT19</f>
        <v>0</v>
      </c>
      <c r="I52" s="883"/>
      <c r="AA52" s="25"/>
      <c r="AB52" s="1162"/>
      <c r="AC52" s="1162"/>
      <c r="AD52" s="1162"/>
      <c r="AE52" s="677"/>
      <c r="AF52" s="677"/>
      <c r="AG52" s="26"/>
      <c r="AH52" s="675"/>
      <c r="AL52" s="36" t="s">
        <v>358</v>
      </c>
      <c r="AM52" s="349">
        <v>0.3</v>
      </c>
      <c r="AN52" s="16">
        <v>0.4</v>
      </c>
      <c r="AP52" s="360" t="s">
        <v>373</v>
      </c>
      <c r="AQ52" s="361"/>
      <c r="AR52" s="362" t="s">
        <v>374</v>
      </c>
    </row>
    <row r="53" spans="2:49" ht="18" customHeight="1" thickBot="1" x14ac:dyDescent="0.4">
      <c r="B53" s="882"/>
      <c r="C53" s="877" t="s">
        <v>712</v>
      </c>
      <c r="D53" s="864">
        <f>D51+Zuschlag!$B$35*Zuschlag!$B$34*G51</f>
        <v>0</v>
      </c>
      <c r="E53" s="864">
        <f>E51+Zuschlag!$B$35*Zuschlag!$B$34*H51</f>
        <v>0</v>
      </c>
      <c r="F53" s="865" t="s">
        <v>715</v>
      </c>
      <c r="G53" s="866">
        <f>D50/Zuschlag!$B$22</f>
        <v>0</v>
      </c>
      <c r="H53" s="1260">
        <f>E50/Zuschlag!$B$22</f>
        <v>0</v>
      </c>
      <c r="I53" s="883"/>
      <c r="AA53" s="48"/>
      <c r="AB53" s="1717" t="s">
        <v>417</v>
      </c>
      <c r="AC53" s="1717"/>
      <c r="AD53" s="1717"/>
      <c r="AE53" s="1299"/>
      <c r="AF53" s="1299"/>
      <c r="AG53" s="33"/>
      <c r="AH53" s="674"/>
      <c r="AL53" s="83" t="s">
        <v>359</v>
      </c>
      <c r="AM53" s="350">
        <v>1.6</v>
      </c>
      <c r="AN53" s="88">
        <v>3.3</v>
      </c>
    </row>
    <row r="54" spans="2:49" ht="18" customHeight="1" thickBot="1" x14ac:dyDescent="0.4">
      <c r="B54" s="882"/>
      <c r="C54" s="877" t="s">
        <v>713</v>
      </c>
      <c r="D54" s="864">
        <f>G50+Zuschlag!$B$36*D51+Zuschlag!$B$37*G52</f>
        <v>0</v>
      </c>
      <c r="E54" s="864">
        <f>H50+Zuschlag!$B$36*E51+Zuschlag!$B$37*H52</f>
        <v>0</v>
      </c>
      <c r="F54" s="865" t="s">
        <v>716</v>
      </c>
      <c r="G54" s="866">
        <f>D53/Zuschlag!$B$23</f>
        <v>0</v>
      </c>
      <c r="H54" s="1260">
        <f>E53/Zuschlag!$B$23</f>
        <v>0</v>
      </c>
      <c r="I54" s="883"/>
      <c r="AA54" s="25"/>
      <c r="AB54" s="1967" t="s">
        <v>7</v>
      </c>
      <c r="AC54" s="1977"/>
      <c r="AD54" s="1977"/>
      <c r="AE54" s="1977"/>
      <c r="AF54" s="1977"/>
      <c r="AG54" s="1559" t="s">
        <v>11</v>
      </c>
      <c r="AH54" s="675"/>
      <c r="AL54" s="332" t="s">
        <v>260</v>
      </c>
      <c r="AM54" s="351">
        <f>SUM(AM49:AM53)</f>
        <v>7</v>
      </c>
      <c r="AN54" s="363">
        <f>SUM(AN49:AN53)</f>
        <v>13</v>
      </c>
    </row>
    <row r="55" spans="2:49" ht="18" customHeight="1" x14ac:dyDescent="0.35">
      <c r="B55" s="882"/>
      <c r="C55" s="877" t="s">
        <v>714</v>
      </c>
      <c r="D55" s="864">
        <f>G52</f>
        <v>0</v>
      </c>
      <c r="E55" s="864">
        <f>H52</f>
        <v>0</v>
      </c>
      <c r="F55" s="865" t="s">
        <v>717</v>
      </c>
      <c r="G55" s="866">
        <f>D54/Zuschlag!$B$24</f>
        <v>0</v>
      </c>
      <c r="H55" s="1260">
        <f>E54/Zuschlag!$B$24</f>
        <v>0</v>
      </c>
      <c r="I55" s="883"/>
      <c r="J55" s="203"/>
      <c r="K55" s="203"/>
      <c r="T55" s="203"/>
      <c r="U55" s="203"/>
      <c r="V55" s="203"/>
      <c r="W55" s="203"/>
      <c r="X55" s="203"/>
      <c r="Y55" s="203"/>
      <c r="Z55" s="203"/>
      <c r="AA55" s="25"/>
      <c r="AB55" s="1730" t="s">
        <v>416</v>
      </c>
      <c r="AC55" s="1976"/>
      <c r="AD55" s="1976"/>
      <c r="AE55" s="1976"/>
      <c r="AF55" s="1976"/>
      <c r="AG55" s="1559" t="s">
        <v>11</v>
      </c>
      <c r="AH55" s="675"/>
      <c r="AI55" s="203"/>
      <c r="AJ55" s="203"/>
      <c r="AK55" s="203"/>
      <c r="AL55" s="203"/>
      <c r="AM55" s="65"/>
      <c r="AN55" s="65"/>
      <c r="AO55" s="65"/>
      <c r="AP55" s="65"/>
      <c r="AQ55" s="68"/>
      <c r="AV55" s="65"/>
      <c r="AW55" s="65"/>
    </row>
    <row r="56" spans="2:49" ht="18" customHeight="1" x14ac:dyDescent="0.35">
      <c r="B56" s="882"/>
      <c r="C56" s="378"/>
      <c r="D56" s="378"/>
      <c r="E56" s="67"/>
      <c r="F56" s="865" t="s">
        <v>718</v>
      </c>
      <c r="G56" s="866">
        <f>D55/Zuschlag!$B$21</f>
        <v>0</v>
      </c>
      <c r="H56" s="1260">
        <f>E55/Zuschlag!$B$21</f>
        <v>0</v>
      </c>
      <c r="I56" s="883"/>
      <c r="J56" s="203"/>
      <c r="K56" s="203"/>
      <c r="T56" s="203"/>
      <c r="U56" s="203"/>
      <c r="V56" s="203"/>
      <c r="W56" s="203"/>
      <c r="X56" s="203"/>
      <c r="Y56" s="203"/>
      <c r="Z56" s="203"/>
      <c r="AA56" s="25"/>
      <c r="AB56" s="1730" t="s">
        <v>412</v>
      </c>
      <c r="AC56" s="1976"/>
      <c r="AD56" s="1976"/>
      <c r="AE56" s="1976"/>
      <c r="AF56" s="1976"/>
      <c r="AG56" s="1559" t="s">
        <v>11</v>
      </c>
      <c r="AH56" s="675"/>
      <c r="AI56" s="203"/>
      <c r="AJ56" s="203"/>
      <c r="AK56" s="203"/>
      <c r="AO56" s="65"/>
      <c r="AP56" s="65"/>
      <c r="AQ56" s="65"/>
      <c r="AV56" s="65"/>
      <c r="AW56" s="65"/>
    </row>
    <row r="57" spans="2:49" ht="18" customHeight="1" x14ac:dyDescent="0.25">
      <c r="B57" s="882"/>
      <c r="C57" s="877" t="s">
        <v>719</v>
      </c>
      <c r="D57" s="666" t="e">
        <f>G54/G53</f>
        <v>#DIV/0!</v>
      </c>
      <c r="E57" s="666" t="e">
        <f>H54/H53</f>
        <v>#DIV/0!</v>
      </c>
      <c r="F57" s="378"/>
      <c r="G57" s="459"/>
      <c r="H57" s="378"/>
      <c r="I57" s="883"/>
      <c r="J57" s="203"/>
      <c r="K57" s="203"/>
      <c r="T57" s="203"/>
      <c r="U57" s="203"/>
      <c r="V57" s="203"/>
      <c r="W57" s="203"/>
      <c r="X57" s="203"/>
      <c r="Y57" s="203"/>
      <c r="Z57" s="203"/>
      <c r="AA57" s="25"/>
      <c r="AB57" s="1730" t="s">
        <v>418</v>
      </c>
      <c r="AC57" s="1976"/>
      <c r="AD57" s="1976"/>
      <c r="AE57" s="1976"/>
      <c r="AF57" s="1976"/>
      <c r="AG57" s="1559" t="s">
        <v>11</v>
      </c>
      <c r="AH57" s="675"/>
      <c r="AI57" s="203"/>
      <c r="AJ57" s="203"/>
      <c r="AK57" s="203"/>
      <c r="AL57" s="41" t="s">
        <v>108</v>
      </c>
      <c r="AV57" s="65"/>
      <c r="AW57" s="65"/>
    </row>
    <row r="58" spans="2:49" ht="18" customHeight="1" x14ac:dyDescent="0.25">
      <c r="B58" s="882"/>
      <c r="C58" s="877" t="s">
        <v>720</v>
      </c>
      <c r="D58" s="666" t="e">
        <f>G55/G53</f>
        <v>#DIV/0!</v>
      </c>
      <c r="E58" s="666" t="e">
        <f>H55/H53</f>
        <v>#DIV/0!</v>
      </c>
      <c r="F58" s="378"/>
      <c r="G58" s="378"/>
      <c r="H58" s="378"/>
      <c r="I58" s="883"/>
      <c r="J58" s="203"/>
      <c r="K58" s="203"/>
      <c r="T58" s="203"/>
      <c r="U58" s="203"/>
      <c r="V58" s="203"/>
      <c r="W58" s="203"/>
      <c r="X58" s="203"/>
      <c r="Y58" s="203"/>
      <c r="Z58" s="203"/>
      <c r="AA58" s="25"/>
      <c r="AB58" s="1730" t="s">
        <v>413</v>
      </c>
      <c r="AC58" s="1976"/>
      <c r="AD58" s="1976"/>
      <c r="AE58" s="1976"/>
      <c r="AF58" s="1976"/>
      <c r="AG58" s="1559" t="s">
        <v>11</v>
      </c>
      <c r="AH58" s="675"/>
      <c r="AI58" s="203"/>
      <c r="AJ58" s="203"/>
      <c r="AK58" s="203"/>
      <c r="AL58" s="44" t="s">
        <v>16</v>
      </c>
      <c r="AM58" s="1300" t="s">
        <v>26</v>
      </c>
      <c r="AN58" s="1300" t="s">
        <v>17</v>
      </c>
      <c r="AO58" s="1300" t="s">
        <v>18</v>
      </c>
      <c r="AP58" s="1300" t="s">
        <v>19</v>
      </c>
      <c r="AQ58" s="1301" t="s">
        <v>22</v>
      </c>
      <c r="AR58" s="1301" t="s">
        <v>24</v>
      </c>
      <c r="AS58" s="1301" t="s">
        <v>21</v>
      </c>
      <c r="AT58" s="1301" t="s">
        <v>25</v>
      </c>
      <c r="AU58" s="43" t="s">
        <v>588</v>
      </c>
      <c r="AV58" s="1184"/>
      <c r="AW58" s="1184"/>
    </row>
    <row r="59" spans="2:49" ht="18" customHeight="1" x14ac:dyDescent="0.2">
      <c r="B59" s="882"/>
      <c r="C59" s="877" t="s">
        <v>721</v>
      </c>
      <c r="D59" s="666" t="e">
        <f>G56/G53</f>
        <v>#DIV/0!</v>
      </c>
      <c r="E59" s="666" t="e">
        <f>H56/H53</f>
        <v>#DIV/0!</v>
      </c>
      <c r="F59" s="67"/>
      <c r="G59" s="67"/>
      <c r="H59" s="378"/>
      <c r="I59" s="883"/>
      <c r="J59" s="203"/>
      <c r="K59" s="203"/>
      <c r="T59" s="203"/>
      <c r="U59" s="203"/>
      <c r="V59" s="203"/>
      <c r="W59" s="203"/>
      <c r="X59" s="203"/>
      <c r="Y59" s="203"/>
      <c r="Z59" s="203"/>
      <c r="AA59" s="25"/>
      <c r="AB59" s="1730" t="s">
        <v>414</v>
      </c>
      <c r="AC59" s="1976"/>
      <c r="AD59" s="1976"/>
      <c r="AE59" s="1976"/>
      <c r="AF59" s="1976"/>
      <c r="AG59" s="1559" t="s">
        <v>11</v>
      </c>
      <c r="AH59" s="675"/>
      <c r="AI59" s="203"/>
      <c r="AJ59" s="203"/>
      <c r="AK59" s="203"/>
      <c r="AL59" s="46"/>
      <c r="AM59" s="46"/>
      <c r="AN59" s="195">
        <f>AN60</f>
        <v>0.30000000000000004</v>
      </c>
      <c r="AO59" s="195">
        <f>AO60</f>
        <v>0.4</v>
      </c>
      <c r="AP59" s="195">
        <f>AP60</f>
        <v>0.4</v>
      </c>
      <c r="AQ59" s="35"/>
      <c r="AR59" s="46"/>
      <c r="AS59" s="46"/>
      <c r="AT59" s="46"/>
      <c r="AU59" s="46"/>
      <c r="AV59" s="65"/>
      <c r="AW59" s="65"/>
    </row>
    <row r="60" spans="2:49" ht="18" customHeight="1" x14ac:dyDescent="0.2">
      <c r="B60" s="882"/>
      <c r="C60" s="378"/>
      <c r="D60" s="869" t="s">
        <v>742</v>
      </c>
      <c r="E60" s="378"/>
      <c r="F60" s="1261" t="s">
        <v>743</v>
      </c>
      <c r="G60" s="879">
        <f>IFERROR(IF(D51&gt;0,Zuschlag!$B$28+Zuschlag!$B$29*D61+Zuschlag!$B$31*D62+Zuschlag!$B$30*D63,0),0)</f>
        <v>0</v>
      </c>
      <c r="H60" s="67" t="s">
        <v>954</v>
      </c>
      <c r="I60" s="883"/>
      <c r="J60" s="203"/>
      <c r="K60" s="203"/>
      <c r="T60" s="203"/>
      <c r="U60" s="203"/>
      <c r="V60" s="203"/>
      <c r="W60" s="203"/>
      <c r="X60" s="203"/>
      <c r="Y60" s="203"/>
      <c r="Z60" s="203"/>
      <c r="AA60" s="25"/>
      <c r="AB60" s="1730" t="s">
        <v>963</v>
      </c>
      <c r="AC60" s="1976"/>
      <c r="AD60" s="1976"/>
      <c r="AE60" s="1976"/>
      <c r="AF60" s="1976"/>
      <c r="AG60" s="1559" t="s">
        <v>11</v>
      </c>
      <c r="AH60" s="675"/>
      <c r="AI60" s="203"/>
      <c r="AJ60" s="203"/>
      <c r="AK60" s="203"/>
      <c r="AL60" s="46" t="str">
        <f>AB27</f>
        <v>Wassersparmassnahmen</v>
      </c>
      <c r="AM60" s="56">
        <f>AT60/AU60</f>
        <v>0</v>
      </c>
      <c r="AN60" s="196">
        <f>1.1-Grün</f>
        <v>0.30000000000000004</v>
      </c>
      <c r="AO60" s="196">
        <f>1.1-Rot-AN60</f>
        <v>0.4</v>
      </c>
      <c r="AP60" s="196">
        <f>1.1-AN60-AO60</f>
        <v>0.4</v>
      </c>
      <c r="AQ60" s="202">
        <v>0.8</v>
      </c>
      <c r="AR60" s="110">
        <f>1*AQ60</f>
        <v>0.8</v>
      </c>
      <c r="AS60" s="57">
        <f>AM60*AQ60</f>
        <v>0</v>
      </c>
      <c r="AT60" s="35">
        <f>COUNTIF(AG28:AG33,"Ja")</f>
        <v>0</v>
      </c>
      <c r="AU60" s="407">
        <f>COUNTA(AG28:AG33)-COUNTIF(AG28:AG33,Milchverarbeitung!$AU$71)</f>
        <v>6</v>
      </c>
      <c r="AV60" s="1182"/>
      <c r="AW60" s="68"/>
    </row>
    <row r="61" spans="2:49" ht="18" customHeight="1" thickBot="1" x14ac:dyDescent="0.25">
      <c r="B61" s="882"/>
      <c r="C61" s="877" t="s">
        <v>719</v>
      </c>
      <c r="D61" s="666" t="e">
        <f t="shared" ref="D61:E63" si="8">IF(D57&lt;1,1,D57)</f>
        <v>#DIV/0!</v>
      </c>
      <c r="E61" s="666" t="e">
        <f t="shared" si="8"/>
        <v>#DIV/0!</v>
      </c>
      <c r="F61" s="1261" t="s">
        <v>743</v>
      </c>
      <c r="G61" s="879">
        <f>IFERROR(IF(E51&gt;0,Zuschlag!$B$28+Zuschlag!$B$29*E61+Zuschlag!$B$31*E62+Zuschlag!$B$30*E63,0),0)</f>
        <v>0</v>
      </c>
      <c r="H61" s="67" t="s">
        <v>751</v>
      </c>
      <c r="I61" s="883"/>
      <c r="J61" s="203"/>
      <c r="K61" s="203"/>
      <c r="T61" s="203"/>
      <c r="U61" s="203"/>
      <c r="V61" s="203"/>
      <c r="W61" s="203"/>
      <c r="X61" s="203"/>
      <c r="Y61" s="203"/>
      <c r="Z61" s="203"/>
      <c r="AA61" s="29"/>
      <c r="AB61" s="678"/>
      <c r="AC61" s="678"/>
      <c r="AD61" s="678"/>
      <c r="AE61" s="678"/>
      <c r="AF61" s="678"/>
      <c r="AG61" s="678"/>
      <c r="AH61" s="679"/>
      <c r="AI61" s="203"/>
      <c r="AJ61" s="203"/>
      <c r="AK61" s="203"/>
      <c r="AL61" s="58" t="str">
        <f>AB35</f>
        <v>Reinigung</v>
      </c>
      <c r="AM61" s="56">
        <f t="shared" ref="AM61:AM63" si="9">AT61/AU61</f>
        <v>0</v>
      </c>
      <c r="AN61" s="196">
        <f>1.1-Grün</f>
        <v>0.30000000000000004</v>
      </c>
      <c r="AO61" s="196">
        <f>1.1-Rot-AN61</f>
        <v>0.4</v>
      </c>
      <c r="AP61" s="196">
        <f>1.1-AN61-AO61</f>
        <v>0.4</v>
      </c>
      <c r="AQ61" s="202">
        <v>1</v>
      </c>
      <c r="AR61" s="110">
        <f>1*AQ61</f>
        <v>1</v>
      </c>
      <c r="AS61" s="57">
        <f>AM61*AQ61</f>
        <v>0</v>
      </c>
      <c r="AT61" s="35">
        <f>COUNTIF(AG36:AG40,"Ja")</f>
        <v>0</v>
      </c>
      <c r="AU61" s="407">
        <f>COUNTA(AG36:AG40)-COUNTIF(AG36:AG40,Milchverarbeitung!$AU$71)</f>
        <v>5</v>
      </c>
      <c r="AV61" s="1182"/>
      <c r="AW61" s="68"/>
    </row>
    <row r="62" spans="2:49" ht="18" customHeight="1" x14ac:dyDescent="0.2">
      <c r="B62" s="882"/>
      <c r="C62" s="877" t="s">
        <v>720</v>
      </c>
      <c r="D62" s="666" t="e">
        <f t="shared" si="8"/>
        <v>#DIV/0!</v>
      </c>
      <c r="E62" s="666" t="e">
        <f t="shared" si="8"/>
        <v>#DIV/0!</v>
      </c>
      <c r="F62" s="67"/>
      <c r="G62" s="67"/>
      <c r="H62" s="67"/>
      <c r="I62" s="883"/>
      <c r="J62" s="203"/>
      <c r="K62" s="203"/>
      <c r="T62" s="203"/>
      <c r="U62" s="203"/>
      <c r="V62" s="203"/>
      <c r="W62" s="203"/>
      <c r="X62" s="203"/>
      <c r="Y62" s="203"/>
      <c r="Z62" s="203"/>
      <c r="AA62" s="660"/>
      <c r="AB62" s="660"/>
      <c r="AC62" s="660"/>
      <c r="AD62" s="660"/>
      <c r="AE62" s="660"/>
      <c r="AF62" s="660"/>
      <c r="AG62" s="660"/>
      <c r="AH62" s="660"/>
      <c r="AI62" s="203"/>
      <c r="AJ62" s="203"/>
      <c r="AK62" s="203"/>
      <c r="AL62" s="46" t="str">
        <f>AB42</f>
        <v>Abwasserbelastung/Verluste</v>
      </c>
      <c r="AM62" s="56">
        <f t="shared" si="9"/>
        <v>0</v>
      </c>
      <c r="AN62" s="196">
        <f>1.1-Grün</f>
        <v>0.30000000000000004</v>
      </c>
      <c r="AO62" s="196">
        <f>1.1-Rot-AN62</f>
        <v>0.4</v>
      </c>
      <c r="AP62" s="196">
        <f>1.1-AN62-AO62</f>
        <v>0.4</v>
      </c>
      <c r="AQ62" s="202">
        <v>1</v>
      </c>
      <c r="AR62" s="110">
        <f>1*AQ62</f>
        <v>1</v>
      </c>
      <c r="AS62" s="57">
        <f>AM62*AQ62</f>
        <v>0</v>
      </c>
      <c r="AT62" s="35">
        <f>COUNTIF(AG43:AG51,"Ja")</f>
        <v>0</v>
      </c>
      <c r="AU62" s="407">
        <f>COUNTA(AG43:AG51)-COUNTIF(AG43:AG51,Milchverarbeitung!$AU$71)</f>
        <v>9</v>
      </c>
      <c r="AV62" s="1182"/>
      <c r="AW62" s="68"/>
    </row>
    <row r="63" spans="2:49" ht="18" customHeight="1" thickBot="1" x14ac:dyDescent="0.25">
      <c r="B63" s="884"/>
      <c r="C63" s="885" t="s">
        <v>721</v>
      </c>
      <c r="D63" s="886" t="e">
        <f t="shared" si="8"/>
        <v>#DIV/0!</v>
      </c>
      <c r="E63" s="886" t="e">
        <f t="shared" si="8"/>
        <v>#DIV/0!</v>
      </c>
      <c r="F63" s="887"/>
      <c r="G63" s="887"/>
      <c r="H63" s="887"/>
      <c r="I63" s="888"/>
      <c r="J63" s="203"/>
      <c r="K63" s="203"/>
      <c r="T63" s="203"/>
      <c r="U63" s="203"/>
      <c r="V63" s="203"/>
      <c r="W63" s="203"/>
      <c r="X63" s="203"/>
      <c r="Y63" s="203"/>
      <c r="Z63" s="203"/>
      <c r="AA63" s="660"/>
      <c r="AB63" s="1192"/>
      <c r="AC63" s="1192"/>
      <c r="AD63" s="1192"/>
      <c r="AE63" s="660"/>
      <c r="AF63" s="660"/>
      <c r="AG63" s="660"/>
      <c r="AH63" s="660"/>
      <c r="AI63" s="203"/>
      <c r="AJ63" s="203"/>
      <c r="AK63" s="203"/>
      <c r="AL63" s="46" t="str">
        <f>AB53</f>
        <v>Energieverbrauch /Optimierung Ressourcenverbrauch</v>
      </c>
      <c r="AM63" s="56">
        <f t="shared" si="9"/>
        <v>0</v>
      </c>
      <c r="AN63" s="196">
        <f>1.1-Grün</f>
        <v>0.30000000000000004</v>
      </c>
      <c r="AO63" s="196">
        <f>1.1-Rot-AN63</f>
        <v>0.4</v>
      </c>
      <c r="AP63" s="196">
        <f>1.1-AN63-AO63</f>
        <v>0.4</v>
      </c>
      <c r="AQ63" s="202">
        <v>0.8</v>
      </c>
      <c r="AR63" s="110">
        <f>1*AQ63</f>
        <v>0.8</v>
      </c>
      <c r="AS63" s="57">
        <f>AM63*AQ63</f>
        <v>0</v>
      </c>
      <c r="AT63" s="35">
        <f>COUNTIF(AG54:AG60,"Ja")</f>
        <v>0</v>
      </c>
      <c r="AU63" s="407">
        <f>COUNTA(AG54:AG60)-COUNTIF(AG54:AG60,Milchverarbeitung!$AU$71)</f>
        <v>7</v>
      </c>
      <c r="AV63" s="1182"/>
      <c r="AW63" s="68"/>
    </row>
    <row r="64" spans="2:49" ht="15" thickBot="1" x14ac:dyDescent="0.25">
      <c r="J64" s="203"/>
      <c r="K64" s="203"/>
      <c r="T64" s="203"/>
      <c r="U64" s="203"/>
      <c r="V64" s="203"/>
      <c r="W64" s="203"/>
      <c r="X64" s="203"/>
      <c r="Y64" s="203"/>
      <c r="Z64" s="203"/>
      <c r="AA64" s="203"/>
      <c r="AB64" s="660"/>
      <c r="AC64" s="660"/>
      <c r="AD64" s="660"/>
      <c r="AE64" s="1303"/>
      <c r="AF64" s="1304"/>
      <c r="AG64" s="1305"/>
      <c r="AH64" s="203"/>
      <c r="AI64" s="203"/>
      <c r="AJ64" s="203"/>
      <c r="AK64" s="203"/>
      <c r="AL64" s="46"/>
      <c r="AM64" s="56"/>
      <c r="AN64" s="196">
        <f>1.1-Grün</f>
        <v>0.30000000000000004</v>
      </c>
      <c r="AO64" s="196">
        <f>1.1-Rot-AN64</f>
        <v>0.4</v>
      </c>
      <c r="AP64" s="196">
        <f>AP63</f>
        <v>0.4</v>
      </c>
      <c r="AQ64" s="109"/>
      <c r="AR64" s="110"/>
      <c r="AS64" s="57"/>
      <c r="AT64" s="15"/>
      <c r="AU64" s="15"/>
      <c r="AV64" s="68"/>
      <c r="AW64" s="68"/>
    </row>
    <row r="65" spans="2:49" x14ac:dyDescent="0.2">
      <c r="B65" s="87"/>
      <c r="C65" s="1369"/>
      <c r="D65" s="1369"/>
      <c r="E65" s="1253" t="s">
        <v>1012</v>
      </c>
      <c r="F65" s="1253" t="s">
        <v>1014</v>
      </c>
      <c r="G65" s="1369" t="s">
        <v>1015</v>
      </c>
      <c r="H65" s="1369"/>
      <c r="I65" s="13"/>
      <c r="J65" s="203"/>
      <c r="K65" s="203"/>
      <c r="T65" s="203"/>
      <c r="U65" s="203"/>
      <c r="V65" s="203"/>
      <c r="W65" s="203"/>
      <c r="X65" s="203"/>
      <c r="Y65" s="203"/>
      <c r="Z65" s="203"/>
      <c r="AA65" s="203"/>
      <c r="AB65" s="660"/>
      <c r="AC65" s="660"/>
      <c r="AD65" s="660"/>
      <c r="AE65" s="1304"/>
      <c r="AF65" s="1304"/>
      <c r="AG65" s="1305"/>
      <c r="AH65" s="203"/>
      <c r="AI65" s="203"/>
      <c r="AJ65" s="203"/>
      <c r="AK65" s="203"/>
      <c r="AL65" s="46"/>
      <c r="AM65" s="46"/>
      <c r="AN65" s="195"/>
      <c r="AO65" s="195"/>
      <c r="AP65" s="195"/>
      <c r="AQ65" s="35"/>
      <c r="AR65" s="46"/>
      <c r="AS65" s="46"/>
      <c r="AT65" s="46"/>
      <c r="AU65" s="46"/>
      <c r="AV65" s="65"/>
      <c r="AW65" s="65"/>
    </row>
    <row r="66" spans="2:49" ht="15.75" thickBot="1" x14ac:dyDescent="0.3">
      <c r="B66" s="1132"/>
      <c r="C66" s="1368" t="s">
        <v>1005</v>
      </c>
      <c r="D66" s="1012" t="s">
        <v>697</v>
      </c>
      <c r="E66" s="1182" t="s">
        <v>1013</v>
      </c>
      <c r="F66" s="1012" t="s">
        <v>1013</v>
      </c>
      <c r="G66" s="65"/>
      <c r="H66" s="1012"/>
      <c r="I66" s="1329"/>
      <c r="J66" s="203"/>
      <c r="K66" s="203"/>
      <c r="L66" s="1365"/>
      <c r="M66" s="1012"/>
      <c r="N66" s="1012"/>
      <c r="T66" s="203"/>
      <c r="U66" s="203"/>
      <c r="V66" s="203"/>
      <c r="W66" s="203"/>
      <c r="X66" s="203"/>
      <c r="Y66" s="203"/>
      <c r="Z66" s="203"/>
      <c r="AA66" s="660"/>
      <c r="AB66" s="660"/>
      <c r="AC66" s="660"/>
      <c r="AD66" s="660"/>
      <c r="AE66" s="660"/>
      <c r="AF66" s="660"/>
      <c r="AG66" s="660"/>
      <c r="AH66" s="660"/>
      <c r="AI66" s="203"/>
      <c r="AJ66" s="203"/>
      <c r="AK66" s="203"/>
      <c r="AQ66" s="55" t="s">
        <v>23</v>
      </c>
      <c r="AR66" s="102">
        <f>SUM(AR60:AR63)</f>
        <v>3.5999999999999996</v>
      </c>
      <c r="AS66" s="102">
        <f>SUM(AS60:AS63)</f>
        <v>0</v>
      </c>
      <c r="AT66" s="101">
        <f>SUM(AT60:AT63)</f>
        <v>0</v>
      </c>
      <c r="AU66" s="1186"/>
      <c r="AV66" s="1185"/>
      <c r="AW66" s="65"/>
    </row>
    <row r="67" spans="2:49" ht="15" customHeight="1" thickBot="1" x14ac:dyDescent="0.3">
      <c r="B67" s="1132"/>
      <c r="C67" s="1368" t="s">
        <v>1006</v>
      </c>
      <c r="D67" s="1322">
        <f>H31</f>
        <v>0</v>
      </c>
      <c r="E67" s="1322">
        <f>D67/D71*1000</f>
        <v>0</v>
      </c>
      <c r="F67" s="1322">
        <f>IF(E67&gt;0,E67-E68,0)</f>
        <v>0</v>
      </c>
      <c r="G67" s="1371">
        <f>MAX(F67:F69)</f>
        <v>0</v>
      </c>
      <c r="H67" s="1012"/>
      <c r="I67" s="1329"/>
      <c r="J67" s="203"/>
      <c r="K67" s="203"/>
      <c r="L67" s="203"/>
      <c r="M67" s="1012"/>
      <c r="N67" s="1012"/>
      <c r="T67" s="203"/>
      <c r="U67" s="203"/>
      <c r="V67" s="203"/>
      <c r="W67" s="203"/>
      <c r="X67" s="203"/>
      <c r="Y67" s="203"/>
      <c r="Z67" s="203"/>
      <c r="AA67" s="203"/>
      <c r="AB67" s="203"/>
      <c r="AC67" s="203"/>
      <c r="AD67" s="203"/>
      <c r="AE67" s="203"/>
      <c r="AF67" s="203"/>
      <c r="AG67" s="203"/>
      <c r="AH67" s="203"/>
      <c r="AI67" s="203"/>
      <c r="AJ67" s="203"/>
      <c r="AK67" s="203"/>
      <c r="AQ67" s="9" t="s">
        <v>21</v>
      </c>
      <c r="AR67" s="103"/>
      <c r="AS67" s="104">
        <f>AS66/AR66</f>
        <v>0</v>
      </c>
      <c r="AT67" s="105"/>
      <c r="AU67" s="105"/>
      <c r="AV67" s="303"/>
      <c r="AW67" s="65"/>
    </row>
    <row r="68" spans="2:49" ht="15" customHeight="1" x14ac:dyDescent="0.2">
      <c r="B68" s="1132"/>
      <c r="C68" s="1368" t="s">
        <v>1007</v>
      </c>
      <c r="D68" s="1320">
        <f>H30</f>
        <v>0</v>
      </c>
      <c r="E68" s="1322">
        <f>D68/D71*1000</f>
        <v>0</v>
      </c>
      <c r="F68" s="1322"/>
      <c r="G68" s="1321"/>
      <c r="H68" s="1012"/>
      <c r="I68" s="1329"/>
      <c r="J68" s="203"/>
      <c r="K68" s="203"/>
      <c r="L68" s="1363"/>
      <c r="M68" s="1012"/>
      <c r="N68" s="1012"/>
      <c r="T68" s="203"/>
      <c r="U68" s="203"/>
      <c r="V68" s="203"/>
      <c r="W68" s="203"/>
      <c r="X68" s="203"/>
      <c r="Y68" s="203"/>
      <c r="Z68" s="203"/>
      <c r="AA68" s="203"/>
      <c r="AB68" s="203"/>
      <c r="AC68" s="203"/>
      <c r="AD68" s="203"/>
      <c r="AE68" s="203"/>
      <c r="AF68" s="203"/>
      <c r="AG68" s="203"/>
      <c r="AH68" s="203"/>
      <c r="AI68" s="203"/>
      <c r="AJ68" s="203"/>
      <c r="AK68" s="203"/>
      <c r="AQ68" s="107" t="s">
        <v>27</v>
      </c>
      <c r="AR68" s="108"/>
      <c r="AS68" s="708">
        <f>SUM(AU60:AU63)</f>
        <v>27</v>
      </c>
      <c r="AV68" s="65"/>
      <c r="AW68" s="65"/>
    </row>
    <row r="69" spans="2:49" ht="15" customHeight="1" x14ac:dyDescent="0.2">
      <c r="B69" s="1132"/>
      <c r="C69" s="1368" t="s">
        <v>1008</v>
      </c>
      <c r="D69" s="1320">
        <f>G31</f>
        <v>0</v>
      </c>
      <c r="E69" s="1322">
        <f>D69/D72*1000</f>
        <v>0</v>
      </c>
      <c r="F69" s="1322">
        <f>IF(E69&gt;0,E69-E70,0)</f>
        <v>0</v>
      </c>
      <c r="G69" s="1321"/>
      <c r="H69" s="1012"/>
      <c r="I69" s="1329"/>
      <c r="J69" s="203"/>
      <c r="K69" s="203"/>
      <c r="L69" s="1363"/>
      <c r="M69" s="1012"/>
      <c r="N69" s="1012"/>
      <c r="T69" s="203"/>
      <c r="U69" s="203"/>
      <c r="V69" s="203"/>
      <c r="W69" s="203"/>
      <c r="X69" s="203"/>
      <c r="Y69" s="203"/>
      <c r="Z69" s="203"/>
      <c r="AA69" s="203"/>
      <c r="AB69" s="203"/>
      <c r="AC69" s="203"/>
      <c r="AD69" s="203"/>
      <c r="AE69" s="203"/>
      <c r="AF69" s="203"/>
      <c r="AG69" s="203"/>
      <c r="AH69" s="203"/>
      <c r="AI69" s="203"/>
      <c r="AJ69" s="203"/>
      <c r="AK69" s="203"/>
      <c r="AV69" s="65"/>
      <c r="AW69" s="65"/>
    </row>
    <row r="70" spans="2:49" ht="15" customHeight="1" x14ac:dyDescent="0.2">
      <c r="B70" s="1132"/>
      <c r="C70" s="1368" t="s">
        <v>1009</v>
      </c>
      <c r="D70" s="1319">
        <f>G30</f>
        <v>0</v>
      </c>
      <c r="E70" s="1322">
        <f>D70/D72*1000</f>
        <v>0</v>
      </c>
      <c r="F70" s="1322"/>
      <c r="G70" s="203"/>
      <c r="H70" s="203"/>
      <c r="I70" s="1329"/>
      <c r="J70" s="203"/>
      <c r="K70" s="203"/>
      <c r="L70" s="203"/>
      <c r="M70" s="203"/>
      <c r="N70" s="203"/>
      <c r="T70" s="113"/>
      <c r="U70" s="113"/>
      <c r="V70" s="113"/>
      <c r="W70" s="113"/>
      <c r="X70" s="113"/>
      <c r="Y70" s="113"/>
      <c r="Z70" s="1302"/>
      <c r="AA70" s="1302"/>
      <c r="AB70" s="1302"/>
      <c r="AC70" s="1302"/>
      <c r="AD70" s="1302"/>
      <c r="AE70" s="1302"/>
      <c r="AF70" s="1302"/>
      <c r="AG70" s="1302"/>
      <c r="AH70" s="1302"/>
      <c r="AI70" s="113"/>
      <c r="AJ70" s="113"/>
    </row>
    <row r="71" spans="2:49" ht="15" customHeight="1" x14ac:dyDescent="0.25">
      <c r="B71" s="1132"/>
      <c r="C71" s="1012" t="s">
        <v>1010</v>
      </c>
      <c r="D71" s="1012">
        <v>120</v>
      </c>
      <c r="E71" s="1367"/>
      <c r="F71" s="203"/>
      <c r="G71" s="203"/>
      <c r="H71" s="203"/>
      <c r="I71" s="1329"/>
      <c r="J71" s="203"/>
      <c r="K71" s="203"/>
      <c r="L71" s="203"/>
      <c r="M71" s="203"/>
      <c r="N71" s="203"/>
      <c r="T71" s="112"/>
      <c r="U71" s="112"/>
      <c r="V71" s="112"/>
      <c r="W71" s="112"/>
      <c r="X71" s="112"/>
      <c r="Y71" s="112"/>
      <c r="Z71" s="111"/>
      <c r="AA71" s="111"/>
      <c r="AB71" s="111"/>
      <c r="AC71" s="111"/>
      <c r="AD71" s="111"/>
      <c r="AE71" s="111"/>
      <c r="AF71" s="111"/>
      <c r="AG71" s="111"/>
      <c r="AH71" s="111"/>
      <c r="AI71" s="112"/>
      <c r="AJ71" s="112"/>
    </row>
    <row r="72" spans="2:49" ht="15" customHeight="1" x14ac:dyDescent="0.25">
      <c r="B72" s="1132"/>
      <c r="C72" s="1012" t="s">
        <v>1011</v>
      </c>
      <c r="D72" s="1182">
        <v>80</v>
      </c>
      <c r="E72" s="1370"/>
      <c r="F72" s="65"/>
      <c r="G72" s="65"/>
      <c r="H72" s="65"/>
      <c r="I72" s="1357"/>
      <c r="T72" s="112"/>
      <c r="U72" s="112"/>
      <c r="V72" s="112"/>
      <c r="W72" s="112"/>
      <c r="X72" s="112"/>
      <c r="Y72" s="112"/>
      <c r="Z72" s="111"/>
      <c r="AA72" s="111"/>
      <c r="AB72" s="111"/>
      <c r="AC72" s="111"/>
      <c r="AD72" s="111"/>
      <c r="AE72" s="111"/>
      <c r="AF72" s="111"/>
      <c r="AG72" s="111"/>
      <c r="AH72" s="111"/>
      <c r="AI72" s="112"/>
      <c r="AJ72" s="112"/>
      <c r="AK72" s="66"/>
    </row>
    <row r="73" spans="2:49" ht="15" customHeight="1" thickBot="1" x14ac:dyDescent="0.3">
      <c r="B73" s="1358"/>
      <c r="C73" s="1359"/>
      <c r="D73" s="1359"/>
      <c r="E73" s="1359"/>
      <c r="F73" s="1359"/>
      <c r="G73" s="1359"/>
      <c r="H73" s="1359"/>
      <c r="I73" s="1360"/>
      <c r="T73" s="112"/>
      <c r="U73" s="112"/>
      <c r="V73" s="112"/>
      <c r="W73" s="112"/>
      <c r="X73" s="112"/>
      <c r="Y73" s="112"/>
      <c r="Z73" s="112"/>
      <c r="AA73" s="112"/>
      <c r="AB73" s="112"/>
      <c r="AC73" s="112"/>
      <c r="AD73" s="112"/>
      <c r="AE73" s="112"/>
      <c r="AF73" s="112"/>
      <c r="AG73" s="112"/>
      <c r="AH73" s="112"/>
      <c r="AI73" s="112"/>
      <c r="AJ73" s="112"/>
      <c r="AK73" s="66"/>
      <c r="AL73" s="66"/>
      <c r="AM73" s="66"/>
      <c r="AN73" s="66"/>
      <c r="AO73" s="66"/>
      <c r="AP73" s="66"/>
      <c r="AQ73" s="66"/>
      <c r="AR73" s="66"/>
      <c r="AS73" s="66"/>
      <c r="AT73" s="66"/>
      <c r="AU73" s="66"/>
      <c r="AV73" s="66"/>
      <c r="AW73" s="66"/>
    </row>
    <row r="74" spans="2:49" ht="15" customHeight="1" x14ac:dyDescent="0.25">
      <c r="T74" s="112"/>
      <c r="U74" s="112"/>
      <c r="V74" s="112"/>
      <c r="W74" s="112"/>
      <c r="X74" s="112"/>
      <c r="Y74" s="112"/>
      <c r="Z74" s="112"/>
      <c r="AA74" s="112"/>
      <c r="AB74" s="112"/>
      <c r="AC74" s="112"/>
      <c r="AD74" s="112"/>
      <c r="AE74" s="112"/>
      <c r="AF74" s="112"/>
      <c r="AG74" s="112"/>
      <c r="AH74" s="112"/>
      <c r="AI74" s="112"/>
      <c r="AJ74" s="112"/>
    </row>
    <row r="75" spans="2:49" ht="15" hidden="1" customHeight="1" x14ac:dyDescent="0.25">
      <c r="J75" s="112"/>
      <c r="K75" s="112"/>
      <c r="T75" s="112"/>
      <c r="U75" s="112"/>
      <c r="V75" s="112"/>
      <c r="W75" s="112"/>
      <c r="X75" s="112"/>
      <c r="Y75" s="112"/>
      <c r="Z75" s="112"/>
      <c r="AA75" s="112"/>
      <c r="AB75" s="112"/>
      <c r="AC75" s="112"/>
      <c r="AD75" s="112"/>
      <c r="AE75" s="112"/>
      <c r="AF75" s="112"/>
      <c r="AG75" s="112"/>
      <c r="AH75" s="112"/>
      <c r="AI75" s="112"/>
      <c r="AJ75" s="112"/>
    </row>
    <row r="76" spans="2:49" ht="15" hidden="1" customHeight="1" x14ac:dyDescent="0.25">
      <c r="J76" s="112"/>
      <c r="K76" s="112"/>
      <c r="T76" s="112"/>
      <c r="U76" s="112"/>
      <c r="V76" s="112"/>
      <c r="W76" s="112"/>
      <c r="X76" s="112"/>
      <c r="Y76" s="112"/>
      <c r="Z76" s="112"/>
      <c r="AA76" s="112"/>
      <c r="AB76" s="112"/>
      <c r="AC76" s="112"/>
      <c r="AD76" s="112"/>
      <c r="AE76" s="112"/>
      <c r="AF76" s="112"/>
      <c r="AG76" s="112"/>
      <c r="AH76" s="112"/>
      <c r="AI76" s="112"/>
      <c r="AJ76" s="112"/>
    </row>
    <row r="77" spans="2:49" ht="15" hidden="1" customHeight="1" x14ac:dyDescent="0.2"/>
    <row r="78" spans="2:49" ht="15" hidden="1" customHeight="1" x14ac:dyDescent="0.2"/>
    <row r="79" spans="2:49" ht="15" hidden="1" customHeight="1" x14ac:dyDescent="0.25">
      <c r="J79" s="112"/>
      <c r="K79" s="112"/>
      <c r="T79" s="112"/>
      <c r="U79" s="112"/>
      <c r="V79" s="112"/>
      <c r="W79" s="112"/>
      <c r="X79" s="112"/>
      <c r="Y79" s="112"/>
      <c r="Z79" s="112"/>
      <c r="AA79" s="112"/>
      <c r="AB79" s="112"/>
      <c r="AC79" s="112"/>
      <c r="AD79" s="112"/>
      <c r="AE79" s="112"/>
      <c r="AF79" s="112"/>
      <c r="AG79" s="112"/>
      <c r="AH79" s="112"/>
      <c r="AI79" s="112"/>
      <c r="AJ79" s="112"/>
    </row>
    <row r="80" spans="2:49" ht="15" hidden="1" customHeight="1" x14ac:dyDescent="0.25">
      <c r="J80" s="112"/>
      <c r="K80" s="112"/>
      <c r="T80" s="112"/>
      <c r="U80" s="112"/>
      <c r="V80" s="112"/>
      <c r="W80" s="112"/>
      <c r="X80" s="112"/>
      <c r="Y80" s="112"/>
      <c r="Z80" s="112"/>
      <c r="AA80" s="112"/>
      <c r="AB80" s="112"/>
      <c r="AC80" s="112"/>
      <c r="AD80" s="112"/>
      <c r="AE80" s="112"/>
      <c r="AF80" s="112"/>
      <c r="AG80" s="112"/>
      <c r="AH80" s="112"/>
      <c r="AI80" s="112"/>
      <c r="AJ80" s="112"/>
    </row>
    <row r="81" spans="10:36" ht="15" hidden="1" customHeight="1" x14ac:dyDescent="0.25">
      <c r="J81" s="112"/>
      <c r="K81" s="112"/>
      <c r="T81" s="112"/>
      <c r="U81" s="112"/>
      <c r="V81" s="112"/>
      <c r="W81" s="112"/>
      <c r="X81" s="112"/>
      <c r="Y81" s="112"/>
      <c r="Z81" s="112"/>
      <c r="AA81" s="112"/>
      <c r="AB81" s="112"/>
      <c r="AC81" s="112"/>
      <c r="AD81" s="112"/>
      <c r="AE81" s="112"/>
      <c r="AF81" s="112"/>
      <c r="AG81" s="112"/>
      <c r="AH81" s="112"/>
      <c r="AI81" s="112"/>
      <c r="AJ81" s="112"/>
    </row>
    <row r="82" spans="10:36" ht="15" hidden="1" customHeight="1" x14ac:dyDescent="0.25">
      <c r="J82" s="112"/>
      <c r="K82" s="112"/>
      <c r="T82" s="112"/>
      <c r="U82" s="112"/>
      <c r="V82" s="112"/>
      <c r="W82" s="112"/>
      <c r="X82" s="112"/>
      <c r="Y82" s="112"/>
      <c r="Z82" s="112"/>
      <c r="AA82" s="112"/>
      <c r="AB82" s="112"/>
      <c r="AC82" s="112"/>
      <c r="AD82" s="112"/>
      <c r="AE82" s="112"/>
      <c r="AF82" s="112"/>
      <c r="AG82" s="112"/>
      <c r="AH82" s="112"/>
      <c r="AI82" s="112"/>
      <c r="AJ82" s="112"/>
    </row>
    <row r="83" spans="10:36" ht="15" hidden="1" customHeight="1" x14ac:dyDescent="0.25">
      <c r="J83" s="112"/>
      <c r="K83" s="112"/>
      <c r="T83" s="112"/>
      <c r="U83" s="112"/>
      <c r="V83" s="112"/>
      <c r="W83" s="112"/>
      <c r="X83" s="112"/>
      <c r="Y83" s="112"/>
      <c r="Z83" s="112"/>
      <c r="AA83" s="112"/>
      <c r="AB83" s="112"/>
      <c r="AC83" s="112"/>
      <c r="AD83" s="112"/>
      <c r="AE83" s="112"/>
      <c r="AF83" s="112"/>
      <c r="AG83" s="112"/>
      <c r="AH83" s="112"/>
      <c r="AI83" s="112"/>
      <c r="AJ83" s="112"/>
    </row>
    <row r="84" spans="10:36" ht="15" hidden="1" customHeight="1" x14ac:dyDescent="0.2"/>
    <row r="85" spans="10:36" ht="15" hidden="1" customHeight="1" x14ac:dyDescent="0.2"/>
    <row r="86" spans="10:36" ht="15" hidden="1" customHeight="1" x14ac:dyDescent="0.25">
      <c r="J86" s="112"/>
      <c r="K86" s="112"/>
      <c r="T86" s="112"/>
      <c r="U86" s="112"/>
      <c r="V86" s="112"/>
      <c r="W86" s="112"/>
      <c r="X86" s="112"/>
      <c r="Y86" s="112"/>
      <c r="Z86" s="112"/>
      <c r="AA86" s="112"/>
      <c r="AB86" s="112"/>
      <c r="AC86" s="112"/>
      <c r="AD86" s="112"/>
      <c r="AE86" s="112"/>
      <c r="AF86" s="112"/>
      <c r="AG86" s="112"/>
      <c r="AH86" s="112"/>
      <c r="AI86" s="112"/>
      <c r="AJ86" s="112"/>
    </row>
    <row r="87" spans="10:36" ht="15" hidden="1" customHeight="1" x14ac:dyDescent="0.25">
      <c r="J87" s="112"/>
      <c r="K87" s="112"/>
      <c r="T87" s="112"/>
      <c r="U87" s="112"/>
      <c r="V87" s="112"/>
      <c r="W87" s="112"/>
      <c r="X87" s="112"/>
      <c r="Y87" s="112"/>
      <c r="Z87" s="112"/>
      <c r="AA87" s="112"/>
      <c r="AB87" s="112"/>
      <c r="AC87" s="112"/>
      <c r="AD87" s="112"/>
      <c r="AE87" s="112"/>
      <c r="AF87" s="112"/>
      <c r="AG87" s="112"/>
      <c r="AH87" s="112"/>
      <c r="AI87" s="112"/>
      <c r="AJ87" s="112"/>
    </row>
    <row r="88" spans="10:36" ht="15" hidden="1" customHeight="1" x14ac:dyDescent="0.25">
      <c r="J88" s="112"/>
      <c r="K88" s="112"/>
      <c r="T88" s="112"/>
      <c r="U88" s="112"/>
      <c r="V88" s="112"/>
      <c r="W88" s="112"/>
      <c r="X88" s="112"/>
      <c r="Y88" s="112"/>
      <c r="Z88" s="112"/>
      <c r="AA88" s="112"/>
      <c r="AB88" s="112"/>
      <c r="AC88" s="112"/>
      <c r="AD88" s="112"/>
      <c r="AE88" s="112"/>
      <c r="AF88" s="112"/>
      <c r="AG88" s="112"/>
      <c r="AH88" s="112"/>
      <c r="AI88" s="112"/>
      <c r="AJ88" s="112"/>
    </row>
    <row r="89" spans="10:36" ht="15" hidden="1" customHeight="1" x14ac:dyDescent="0.25">
      <c r="J89" s="112"/>
      <c r="K89" s="112"/>
      <c r="T89" s="112"/>
      <c r="U89" s="112"/>
      <c r="V89" s="112"/>
      <c r="W89" s="112"/>
      <c r="X89" s="112"/>
      <c r="Y89" s="112"/>
      <c r="Z89" s="112"/>
      <c r="AA89" s="112"/>
      <c r="AB89" s="112"/>
      <c r="AC89" s="112"/>
      <c r="AD89" s="112"/>
      <c r="AE89" s="112"/>
      <c r="AF89" s="112"/>
      <c r="AG89" s="112"/>
      <c r="AH89" s="112"/>
      <c r="AI89" s="112"/>
      <c r="AJ89" s="112"/>
    </row>
    <row r="90" spans="10:36" ht="15" hidden="1" customHeight="1" x14ac:dyDescent="0.25">
      <c r="J90" s="112"/>
      <c r="K90" s="112"/>
      <c r="T90" s="112"/>
      <c r="U90" s="112"/>
      <c r="V90" s="112"/>
      <c r="W90" s="112"/>
      <c r="X90" s="112"/>
      <c r="Y90" s="112"/>
      <c r="Z90" s="112"/>
      <c r="AA90" s="112"/>
      <c r="AB90" s="112"/>
      <c r="AC90" s="112"/>
      <c r="AD90" s="112"/>
      <c r="AE90" s="112"/>
      <c r="AF90" s="112"/>
      <c r="AG90" s="112"/>
      <c r="AH90" s="112"/>
      <c r="AI90" s="112"/>
      <c r="AJ90" s="112"/>
    </row>
    <row r="91" spans="10:36" ht="15" hidden="1" customHeight="1" x14ac:dyDescent="0.25">
      <c r="J91" s="112"/>
      <c r="K91" s="112"/>
      <c r="T91" s="112"/>
      <c r="U91" s="112"/>
      <c r="V91" s="112"/>
      <c r="W91" s="112"/>
      <c r="X91" s="112"/>
      <c r="Y91" s="112"/>
      <c r="Z91" s="112"/>
      <c r="AA91" s="112"/>
      <c r="AB91" s="112"/>
      <c r="AC91" s="112"/>
      <c r="AD91" s="112"/>
      <c r="AE91" s="112"/>
      <c r="AF91" s="112"/>
      <c r="AG91" s="112"/>
      <c r="AH91" s="112"/>
      <c r="AI91" s="112"/>
      <c r="AJ91" s="112"/>
    </row>
    <row r="92" spans="10:36" ht="15" hidden="1" customHeight="1" x14ac:dyDescent="0.25">
      <c r="J92" s="112"/>
      <c r="K92" s="112"/>
      <c r="T92" s="112"/>
      <c r="U92" s="112"/>
      <c r="V92" s="112"/>
      <c r="W92" s="112"/>
      <c r="X92" s="112"/>
      <c r="Y92" s="112"/>
      <c r="Z92" s="112"/>
      <c r="AA92" s="112"/>
      <c r="AB92" s="112"/>
      <c r="AC92" s="112"/>
      <c r="AD92" s="112"/>
      <c r="AE92" s="112"/>
      <c r="AF92" s="112"/>
      <c r="AG92" s="112"/>
      <c r="AH92" s="112"/>
      <c r="AI92" s="112"/>
      <c r="AJ92" s="112"/>
    </row>
    <row r="93" spans="10:36" ht="15" hidden="1" customHeight="1" x14ac:dyDescent="0.25">
      <c r="J93" s="112"/>
      <c r="K93" s="112"/>
      <c r="T93" s="112"/>
      <c r="U93" s="112"/>
      <c r="V93" s="112"/>
      <c r="W93" s="112"/>
      <c r="X93" s="112"/>
      <c r="Y93" s="112"/>
      <c r="Z93" s="112"/>
      <c r="AA93" s="112"/>
      <c r="AB93" s="112"/>
      <c r="AC93" s="112"/>
      <c r="AD93" s="112"/>
      <c r="AE93" s="112"/>
      <c r="AF93" s="112"/>
      <c r="AG93" s="112"/>
      <c r="AH93" s="112"/>
      <c r="AI93" s="112"/>
      <c r="AJ93" s="112"/>
    </row>
    <row r="94" spans="10:36" ht="15" hidden="1" customHeight="1" x14ac:dyDescent="0.25">
      <c r="J94" s="112"/>
      <c r="K94" s="112"/>
      <c r="T94" s="112"/>
      <c r="U94" s="112"/>
      <c r="V94" s="112"/>
      <c r="W94" s="112"/>
      <c r="X94" s="112"/>
      <c r="Y94" s="112"/>
      <c r="Z94" s="112"/>
      <c r="AA94" s="112"/>
      <c r="AB94" s="112"/>
      <c r="AC94" s="112"/>
      <c r="AD94" s="112"/>
      <c r="AE94" s="112"/>
      <c r="AF94" s="112"/>
      <c r="AG94" s="112"/>
      <c r="AH94" s="112"/>
      <c r="AI94" s="112"/>
      <c r="AJ94" s="112"/>
    </row>
    <row r="95" spans="10:36" ht="15" hidden="1" customHeight="1" x14ac:dyDescent="0.2"/>
    <row r="96" spans="10:36" ht="15" hidden="1" customHeight="1" x14ac:dyDescent="0.2"/>
    <row r="97" spans="10:36" ht="15" hidden="1" customHeight="1" x14ac:dyDescent="0.25">
      <c r="J97" s="112"/>
      <c r="K97" s="112"/>
      <c r="T97" s="112"/>
      <c r="U97" s="112"/>
      <c r="V97" s="112"/>
      <c r="W97" s="112"/>
      <c r="X97" s="112"/>
      <c r="Y97" s="112"/>
      <c r="Z97" s="112"/>
      <c r="AA97" s="112"/>
      <c r="AB97" s="112"/>
      <c r="AC97" s="112"/>
      <c r="AD97" s="112"/>
      <c r="AE97" s="112"/>
      <c r="AF97" s="112"/>
      <c r="AG97" s="112"/>
      <c r="AH97" s="112"/>
      <c r="AI97" s="112"/>
      <c r="AJ97" s="112"/>
    </row>
    <row r="98" spans="10:36" ht="15" hidden="1" customHeight="1" x14ac:dyDescent="0.25">
      <c r="J98" s="112"/>
      <c r="K98" s="112"/>
      <c r="T98" s="112"/>
      <c r="U98" s="112"/>
      <c r="V98" s="112"/>
      <c r="W98" s="112"/>
      <c r="X98" s="112"/>
      <c r="Y98" s="112"/>
      <c r="Z98" s="112"/>
      <c r="AA98" s="112"/>
      <c r="AB98" s="112"/>
      <c r="AC98" s="112"/>
      <c r="AD98" s="112"/>
      <c r="AE98" s="112"/>
      <c r="AF98" s="112"/>
      <c r="AG98" s="112"/>
      <c r="AH98" s="112"/>
      <c r="AI98" s="112"/>
      <c r="AJ98" s="112"/>
    </row>
    <row r="99" spans="10:36" ht="15" hidden="1" customHeight="1" x14ac:dyDescent="0.25">
      <c r="J99" s="112"/>
      <c r="K99" s="112"/>
      <c r="T99" s="112"/>
      <c r="U99" s="112"/>
      <c r="V99" s="112"/>
      <c r="W99" s="112"/>
      <c r="X99" s="112"/>
      <c r="Y99" s="112"/>
      <c r="Z99" s="112"/>
      <c r="AA99" s="112"/>
      <c r="AB99" s="112"/>
      <c r="AC99" s="112"/>
      <c r="AD99" s="112"/>
      <c r="AE99" s="112"/>
      <c r="AF99" s="112"/>
      <c r="AG99" s="112"/>
      <c r="AH99" s="112"/>
      <c r="AI99" s="112"/>
      <c r="AJ99" s="112"/>
    </row>
    <row r="100" spans="10:36" ht="15" hidden="1" customHeight="1" x14ac:dyDescent="0.25">
      <c r="J100" s="112"/>
      <c r="K100" s="112"/>
      <c r="T100" s="112"/>
      <c r="U100" s="112"/>
      <c r="V100" s="112"/>
      <c r="W100" s="112"/>
      <c r="X100" s="112"/>
      <c r="Y100" s="112"/>
      <c r="Z100" s="112"/>
      <c r="AA100" s="112"/>
      <c r="AB100" s="112"/>
      <c r="AC100" s="112"/>
      <c r="AD100" s="112"/>
      <c r="AE100" s="112"/>
      <c r="AF100" s="112"/>
      <c r="AG100" s="112"/>
      <c r="AH100" s="112"/>
      <c r="AI100" s="112"/>
      <c r="AJ100" s="112"/>
    </row>
    <row r="101" spans="10:36" ht="15" hidden="1" customHeight="1" x14ac:dyDescent="0.25">
      <c r="J101" s="112"/>
      <c r="K101" s="112"/>
      <c r="T101" s="112"/>
      <c r="U101" s="112"/>
      <c r="V101" s="112"/>
      <c r="W101" s="112"/>
      <c r="X101" s="112"/>
      <c r="Y101" s="112"/>
      <c r="Z101" s="112"/>
      <c r="AA101" s="112"/>
      <c r="AB101" s="112"/>
      <c r="AC101" s="112"/>
      <c r="AD101" s="112"/>
      <c r="AE101" s="112"/>
      <c r="AF101" s="112"/>
      <c r="AG101" s="112"/>
      <c r="AH101" s="112"/>
      <c r="AI101" s="112"/>
      <c r="AJ101" s="112"/>
    </row>
    <row r="102" spans="10:36" ht="15" hidden="1" customHeight="1" x14ac:dyDescent="0.25">
      <c r="J102" s="112"/>
      <c r="K102" s="112"/>
      <c r="T102" s="112"/>
      <c r="U102" s="112"/>
      <c r="V102" s="112"/>
      <c r="W102" s="112"/>
      <c r="X102" s="112"/>
      <c r="Y102" s="112"/>
      <c r="Z102" s="112"/>
      <c r="AA102" s="112"/>
      <c r="AB102" s="112"/>
      <c r="AC102" s="112"/>
      <c r="AD102" s="112"/>
      <c r="AE102" s="112"/>
      <c r="AF102" s="112"/>
      <c r="AG102" s="112"/>
      <c r="AH102" s="112"/>
      <c r="AI102" s="112"/>
      <c r="AJ102" s="112"/>
    </row>
    <row r="103" spans="10:36" ht="15" hidden="1" customHeight="1" x14ac:dyDescent="0.25">
      <c r="J103" s="112"/>
      <c r="K103" s="112"/>
      <c r="T103" s="112"/>
      <c r="U103" s="112"/>
      <c r="V103" s="112"/>
      <c r="W103" s="112"/>
      <c r="X103" s="112"/>
      <c r="Y103" s="112"/>
      <c r="Z103" s="112"/>
      <c r="AA103" s="112"/>
      <c r="AB103" s="112"/>
      <c r="AC103" s="112"/>
      <c r="AD103" s="112"/>
      <c r="AE103" s="112"/>
      <c r="AF103" s="112"/>
      <c r="AG103" s="112"/>
      <c r="AH103" s="112"/>
      <c r="AI103" s="112"/>
      <c r="AJ103" s="112"/>
    </row>
    <row r="104" spans="10:36" s="66" customFormat="1" ht="15" hidden="1" customHeight="1" x14ac:dyDescent="0.2"/>
    <row r="105" spans="10:36" s="66" customFormat="1" ht="15" hidden="1" customHeight="1" x14ac:dyDescent="0.2"/>
    <row r="106" spans="10:36" s="66" customFormat="1" ht="15" hidden="1" customHeight="1" x14ac:dyDescent="0.2"/>
    <row r="107" spans="10:36" ht="15" hidden="1" customHeight="1" x14ac:dyDescent="0.2"/>
    <row r="108" spans="10:36" ht="15" hidden="1" customHeight="1" x14ac:dyDescent="0.2"/>
    <row r="109" spans="10:36" ht="15" hidden="1" customHeight="1" x14ac:dyDescent="0.2"/>
    <row r="110" spans="10:36" ht="15" hidden="1" customHeight="1" x14ac:dyDescent="0.2"/>
    <row r="111" spans="10:36" ht="15" hidden="1" customHeight="1" x14ac:dyDescent="0.2"/>
    <row r="112" spans="10:36" ht="15" hidden="1" customHeight="1" x14ac:dyDescent="0.2"/>
    <row r="113" ht="15" hidden="1" customHeight="1" x14ac:dyDescent="0.2"/>
    <row r="114" ht="15" hidden="1" customHeight="1" x14ac:dyDescent="0.2"/>
    <row r="115" ht="15" hidden="1" customHeight="1" x14ac:dyDescent="0.2"/>
    <row r="116" ht="15" hidden="1" customHeight="1" x14ac:dyDescent="0.2"/>
  </sheetData>
  <sheetProtection password="D65F" sheet="1" objects="1" scenarios="1"/>
  <mergeCells count="82">
    <mergeCell ref="L24:N24"/>
    <mergeCell ref="L25:N25"/>
    <mergeCell ref="L26:N26"/>
    <mergeCell ref="U5:W5"/>
    <mergeCell ref="AB38:AF38"/>
    <mergeCell ref="AB10:AC10"/>
    <mergeCell ref="L30:N30"/>
    <mergeCell ref="L27:N27"/>
    <mergeCell ref="L28:N28"/>
    <mergeCell ref="L29:N29"/>
    <mergeCell ref="U13:X14"/>
    <mergeCell ref="U17:W17"/>
    <mergeCell ref="U20:W20"/>
    <mergeCell ref="AB27:AF27"/>
    <mergeCell ref="U22:W22"/>
    <mergeCell ref="U18:W18"/>
    <mergeCell ref="U23:W23"/>
    <mergeCell ref="AB57:AF57"/>
    <mergeCell ref="AB29:AF29"/>
    <mergeCell ref="AB30:AF30"/>
    <mergeCell ref="AB31:AF31"/>
    <mergeCell ref="AB32:AF32"/>
    <mergeCell ref="AB33:AF33"/>
    <mergeCell ref="AB36:AF36"/>
    <mergeCell ref="AB56:AF56"/>
    <mergeCell ref="AB39:AF39"/>
    <mergeCell ref="AB40:AF40"/>
    <mergeCell ref="M40:N40"/>
    <mergeCell ref="AB58:AF58"/>
    <mergeCell ref="AB59:AF59"/>
    <mergeCell ref="AB60:AF60"/>
    <mergeCell ref="AB43:AF43"/>
    <mergeCell ref="AB44:AF44"/>
    <mergeCell ref="AB45:AF45"/>
    <mergeCell ref="AB46:AF46"/>
    <mergeCell ref="AB47:AF47"/>
    <mergeCell ref="AB48:AF48"/>
    <mergeCell ref="AB53:AD53"/>
    <mergeCell ref="AB49:AF49"/>
    <mergeCell ref="AB50:AF50"/>
    <mergeCell ref="AB51:AF51"/>
    <mergeCell ref="AB54:AF54"/>
    <mergeCell ref="AB55:AF55"/>
    <mergeCell ref="C24:D24"/>
    <mergeCell ref="C25:D25"/>
    <mergeCell ref="AP46:AR46"/>
    <mergeCell ref="AM47:AN47"/>
    <mergeCell ref="O16:P16"/>
    <mergeCell ref="AQ35:AT35"/>
    <mergeCell ref="AM35:AP35"/>
    <mergeCell ref="AM36:AP36"/>
    <mergeCell ref="AQ36:AT36"/>
    <mergeCell ref="U21:W21"/>
    <mergeCell ref="U19:W19"/>
    <mergeCell ref="AB28:AF28"/>
    <mergeCell ref="AB37:AF37"/>
    <mergeCell ref="AB14:AB18"/>
    <mergeCell ref="B47:I48"/>
    <mergeCell ref="L13:Q14"/>
    <mergeCell ref="C33:E33"/>
    <mergeCell ref="C26:D26"/>
    <mergeCell ref="C27:D27"/>
    <mergeCell ref="C28:D28"/>
    <mergeCell ref="C29:D29"/>
    <mergeCell ref="C30:D30"/>
    <mergeCell ref="C31:E31"/>
    <mergeCell ref="C32:E32"/>
    <mergeCell ref="C13:G14"/>
    <mergeCell ref="C16:D17"/>
    <mergeCell ref="F16:H16"/>
    <mergeCell ref="C18:D18"/>
    <mergeCell ref="C19:D19"/>
    <mergeCell ref="C20:D20"/>
    <mergeCell ref="C22:D22"/>
    <mergeCell ref="C21:D21"/>
    <mergeCell ref="C23:D23"/>
    <mergeCell ref="L16:N18"/>
    <mergeCell ref="L19:N19"/>
    <mergeCell ref="L20:N20"/>
    <mergeCell ref="L21:N21"/>
    <mergeCell ref="L22:N22"/>
    <mergeCell ref="L23:N23"/>
  </mergeCells>
  <conditionalFormatting sqref="F32">
    <cfRule type="expression" dxfId="136" priority="107">
      <formula>IF(ISERROR(F32),TRUE,FALSE)</formula>
    </cfRule>
  </conditionalFormatting>
  <conditionalFormatting sqref="G32">
    <cfRule type="expression" dxfId="135" priority="106">
      <formula>IF(ISERROR(G32),TRUE,FALSE)</formula>
    </cfRule>
  </conditionalFormatting>
  <conditionalFormatting sqref="H32">
    <cfRule type="expression" dxfId="134" priority="105">
      <formula>IF(ISERROR(H32),TRUE,FALSE)</formula>
    </cfRule>
  </conditionalFormatting>
  <conditionalFormatting sqref="F33">
    <cfRule type="expression" dxfId="133" priority="101">
      <formula>IF(ISERROR(F32)=TRUE,TRUE,FALSE)</formula>
    </cfRule>
    <cfRule type="expression" dxfId="132" priority="102">
      <formula>IF(F32&lt;=Gut,TRUE,FALSE)</formula>
    </cfRule>
    <cfRule type="expression" dxfId="131" priority="103">
      <formula>IF(F32&lt;=Potential,TRUE,FALSE)</formula>
    </cfRule>
    <cfRule type="expression" dxfId="130" priority="104">
      <formula>IF(F32&gt;Potential,TRUE,FALSE)</formula>
    </cfRule>
  </conditionalFormatting>
  <conditionalFormatting sqref="G33">
    <cfRule type="expression" dxfId="129" priority="97">
      <formula>IF(ISERROR(G32)=TRUE,TRUE,FALSE)</formula>
    </cfRule>
  </conditionalFormatting>
  <conditionalFormatting sqref="G33">
    <cfRule type="expression" dxfId="128" priority="98">
      <formula>IF(G32&lt;=Gut,TRUE,FALSE)</formula>
    </cfRule>
    <cfRule type="expression" dxfId="127" priority="99">
      <formula>IF(G32&lt;=Potential,TRUE,FALSE)</formula>
    </cfRule>
    <cfRule type="expression" dxfId="126" priority="100">
      <formula>IF(G32&gt;Potential,TRUE,FALSE)</formula>
    </cfRule>
  </conditionalFormatting>
  <conditionalFormatting sqref="H33">
    <cfRule type="expression" dxfId="125" priority="93">
      <formula>IF(ISERROR(H32)=TRUE,TRUE,FALSE)</formula>
    </cfRule>
  </conditionalFormatting>
  <conditionalFormatting sqref="H33">
    <cfRule type="expression" dxfId="124" priority="94">
      <formula>IF(H32&lt;=Gut,TRUE,FALSE)</formula>
    </cfRule>
    <cfRule type="expression" dxfId="123" priority="95">
      <formula>IF(H32&lt;=Potential,TRUE,FALSE)</formula>
    </cfRule>
    <cfRule type="expression" dxfId="122" priority="96">
      <formula>IF(H32&gt;Potential,TRUE,FALSE)</formula>
    </cfRule>
  </conditionalFormatting>
  <conditionalFormatting sqref="D37">
    <cfRule type="expression" dxfId="121" priority="56">
      <formula>ISERROR(D37)</formula>
    </cfRule>
    <cfRule type="cellIs" dxfId="120" priority="57" operator="greaterThan">
      <formula>0</formula>
    </cfRule>
  </conditionalFormatting>
  <conditionalFormatting sqref="D39">
    <cfRule type="expression" dxfId="119" priority="54">
      <formula>ISERROR(D39)</formula>
    </cfRule>
    <cfRule type="cellIs" dxfId="118" priority="55" operator="greaterThan">
      <formula>0</formula>
    </cfRule>
  </conditionalFormatting>
  <conditionalFormatting sqref="F37">
    <cfRule type="expression" dxfId="117" priority="52">
      <formula>ISERROR(F37)</formula>
    </cfRule>
    <cfRule type="cellIs" dxfId="116" priority="53" operator="greaterThan">
      <formula>0</formula>
    </cfRule>
  </conditionalFormatting>
  <conditionalFormatting sqref="F39">
    <cfRule type="expression" dxfId="115" priority="50">
      <formula>ISERROR(F39)</formula>
    </cfRule>
    <cfRule type="cellIs" dxfId="114" priority="51" operator="greaterThan">
      <formula>0</formula>
    </cfRule>
  </conditionalFormatting>
  <conditionalFormatting sqref="O42">
    <cfRule type="expression" dxfId="113" priority="49">
      <formula>IF(ISERROR(O42)=TRUE,TRUE,FALSE)</formula>
    </cfRule>
  </conditionalFormatting>
  <conditionalFormatting sqref="P42">
    <cfRule type="expression" dxfId="112" priority="48">
      <formula>IF(ISERROR(P42)=TRUE,TRUE,FALSE)</formula>
    </cfRule>
  </conditionalFormatting>
  <conditionalFormatting sqref="O43:P43">
    <cfRule type="expression" dxfId="111" priority="44">
      <formula>IF(ISERROR(O42)=TRUE,TRUE,FALSE)</formula>
    </cfRule>
  </conditionalFormatting>
  <conditionalFormatting sqref="O43:P43">
    <cfRule type="expression" dxfId="110" priority="45">
      <formula>IF(O42&lt;=Gut,TRUE,FALSE)</formula>
    </cfRule>
    <cfRule type="expression" dxfId="109" priority="46">
      <formula>IF(O42&lt;=Potential,TRUE,FALSE)</formula>
    </cfRule>
    <cfRule type="expression" dxfId="108" priority="47">
      <formula>IF(O42&gt;Potential,TRUE,FALSE)</formula>
    </cfRule>
  </conditionalFormatting>
  <conditionalFormatting sqref="L37">
    <cfRule type="expression" dxfId="107" priority="40">
      <formula>IF($BQ$83/$BQ$84&lt;0.5,TRUE,FALSE)</formula>
    </cfRule>
    <cfRule type="expression" dxfId="106" priority="41">
      <formula>IF($BN$82&gt;0,TRUE,FALSE)</formula>
    </cfRule>
  </conditionalFormatting>
  <conditionalFormatting sqref="L37">
    <cfRule type="expression" dxfId="105" priority="42">
      <formula>IF($BN$82&gt;Grün,TRUE,FALSE)</formula>
    </cfRule>
    <cfRule type="expression" dxfId="104" priority="43">
      <formula>IF($BN$82&gt;Rot,TRUE,FALSE)</formula>
    </cfRule>
  </conditionalFormatting>
  <conditionalFormatting sqref="N47">
    <cfRule type="expression" dxfId="103" priority="38">
      <formula>ISERROR(N47)</formula>
    </cfRule>
    <cfRule type="cellIs" dxfId="102" priority="39" operator="greaterThan">
      <formula>0</formula>
    </cfRule>
  </conditionalFormatting>
  <conditionalFormatting sqref="N48">
    <cfRule type="expression" dxfId="101" priority="36">
      <formula>ISERROR(N48)</formula>
    </cfRule>
    <cfRule type="cellIs" dxfId="100" priority="37" operator="greaterThan">
      <formula>0</formula>
    </cfRule>
  </conditionalFormatting>
  <conditionalFormatting sqref="P47">
    <cfRule type="expression" dxfId="99" priority="34">
      <formula>ISERROR(P47)</formula>
    </cfRule>
    <cfRule type="cellIs" dxfId="98" priority="35" operator="greaterThan">
      <formula>0</formula>
    </cfRule>
  </conditionalFormatting>
  <conditionalFormatting sqref="P48">
    <cfRule type="expression" dxfId="97" priority="32">
      <formula>ISERROR(P48)</formula>
    </cfRule>
    <cfRule type="cellIs" dxfId="96" priority="33" operator="greaterThan">
      <formula>0</formula>
    </cfRule>
  </conditionalFormatting>
  <conditionalFormatting sqref="Q42">
    <cfRule type="expression" dxfId="95" priority="31">
      <formula>IF(ISERROR(Q42)=TRUE,TRUE,FALSE)</formula>
    </cfRule>
  </conditionalFormatting>
  <conditionalFormatting sqref="Q43">
    <cfRule type="expression" dxfId="94" priority="27">
      <formula>IF(ISERROR(Q42)=TRUE,TRUE,FALSE)</formula>
    </cfRule>
  </conditionalFormatting>
  <conditionalFormatting sqref="Q43">
    <cfRule type="expression" dxfId="93" priority="28">
      <formula>IF(Q42&lt;=Gut,TRUE,FALSE)</formula>
    </cfRule>
    <cfRule type="expression" dxfId="92" priority="29">
      <formula>IF(Q42&lt;=Potential,TRUE,FALSE)</formula>
    </cfRule>
    <cfRule type="expression" dxfId="91" priority="30">
      <formula>IF(Q42&gt;Potential,TRUE,FALSE)</formula>
    </cfRule>
  </conditionalFormatting>
  <conditionalFormatting sqref="X20">
    <cfRule type="expression" dxfId="90" priority="2">
      <formula>IF($N$34+$N$35&gt;0,TRUE,FALSE)</formula>
    </cfRule>
    <cfRule type="cellIs" dxfId="89" priority="21" operator="greaterThan">
      <formula>0</formula>
    </cfRule>
    <cfRule type="expression" dxfId="88" priority="25">
      <formula>ISERROR(X20)</formula>
    </cfRule>
  </conditionalFormatting>
  <conditionalFormatting sqref="X22">
    <cfRule type="expression" dxfId="87" priority="24">
      <formula>ISERROR(X22)</formula>
    </cfRule>
  </conditionalFormatting>
  <conditionalFormatting sqref="X21">
    <cfRule type="expression" dxfId="86" priority="1">
      <formula>IF($N$36&gt;0,TRUE,FALSE)</formula>
    </cfRule>
    <cfRule type="cellIs" dxfId="85" priority="20" operator="greaterThan">
      <formula>0</formula>
    </cfRule>
    <cfRule type="expression" dxfId="84" priority="23">
      <formula>ISERROR(X21)</formula>
    </cfRule>
  </conditionalFormatting>
  <conditionalFormatting sqref="X17">
    <cfRule type="expression" dxfId="83" priority="5">
      <formula>IF($F$31&gt;0,TRUE,FALSE)</formula>
    </cfRule>
    <cfRule type="cellIs" dxfId="82" priority="17" operator="greaterThan">
      <formula>0</formula>
    </cfRule>
    <cfRule type="expression" dxfId="81" priority="18">
      <formula>ISERROR(X17)</formula>
    </cfRule>
  </conditionalFormatting>
  <conditionalFormatting sqref="X23">
    <cfRule type="expression" dxfId="80" priority="16">
      <formula>ISERROR(X23)</formula>
    </cfRule>
  </conditionalFormatting>
  <conditionalFormatting sqref="X18">
    <cfRule type="expression" dxfId="79" priority="4">
      <formula>IF($G$31+$H$31&gt;0,TRUE,FALSE)</formula>
    </cfRule>
    <cfRule type="cellIs" dxfId="78" priority="13" operator="greaterThan">
      <formula>0</formula>
    </cfRule>
    <cfRule type="expression" dxfId="77" priority="14">
      <formula>ISERROR(X18)</formula>
    </cfRule>
  </conditionalFormatting>
  <conditionalFormatting sqref="AB14">
    <cfRule type="expression" dxfId="76" priority="10">
      <formula>IF($AS$67&gt;Grün,TRUE,FALSE)</formula>
    </cfRule>
    <cfRule type="expression" dxfId="75" priority="11">
      <formula>IF($AS$67&gt;Rot,TRUE,FALSE)</formula>
    </cfRule>
    <cfRule type="expression" dxfId="74" priority="12">
      <formula>IF($AS$67&gt;0,TRUE,FALSE)</formula>
    </cfRule>
  </conditionalFormatting>
  <conditionalFormatting sqref="F42">
    <cfRule type="expression" dxfId="73" priority="8">
      <formula>ISERROR(F42)</formula>
    </cfRule>
    <cfRule type="cellIs" dxfId="72" priority="9" operator="greaterThan">
      <formula>0</formula>
    </cfRule>
  </conditionalFormatting>
  <conditionalFormatting sqref="X19">
    <cfRule type="expression" dxfId="71" priority="3">
      <formula>IF($G$31+$H$31&gt;0,TRUE,FALSE)</formula>
    </cfRule>
    <cfRule type="cellIs" dxfId="70" priority="6" operator="greaterThan">
      <formula>0</formula>
    </cfRule>
    <cfRule type="expression" dxfId="69" priority="7">
      <formula>ISERROR(X19)</formula>
    </cfRule>
  </conditionalFormatting>
  <dataValidations count="1">
    <dataValidation type="list" allowBlank="1" showInputMessage="1" showErrorMessage="1" sqref="AG43:AG51 AG36:AG40 AG54:AG60 AG28:AG33">
      <formula1>Liste</formula1>
    </dataValidation>
  </dataValidations>
  <hyperlinks>
    <hyperlink ref="AD10" r:id="rId1"/>
    <hyperlink ref="AD11" r:id="rId2"/>
  </hyperlinks>
  <pageMargins left="0.70866141732283472" right="0.70866141732283472" top="0.78740157480314965" bottom="0.78740157480314965" header="0.31496062992125984" footer="0.31496062992125984"/>
  <pageSetup paperSize="9" scale="65" orientation="landscape" r:id="rId3"/>
  <headerFooter>
    <oddFooter>&amp;L&amp;D&amp;Cuwe Luzern</oddFooter>
  </headerFooter>
  <rowBreaks count="1" manualBreakCount="1">
    <brk id="11" min="26" max="33" man="1"/>
  </row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5:L40"/>
  <sheetViews>
    <sheetView topLeftCell="A13" workbookViewId="0">
      <selection activeCell="D48" sqref="D48"/>
    </sheetView>
  </sheetViews>
  <sheetFormatPr baseColWidth="10" defaultRowHeight="15" x14ac:dyDescent="0.25"/>
  <cols>
    <col min="10" max="10" width="19.42578125" customWidth="1"/>
    <col min="11" max="11" width="11.42578125" customWidth="1"/>
  </cols>
  <sheetData>
    <row r="5" spans="1:6" x14ac:dyDescent="0.25">
      <c r="A5" s="269" t="s">
        <v>688</v>
      </c>
      <c r="D5" s="269" t="s">
        <v>744</v>
      </c>
    </row>
    <row r="7" spans="1:6" x14ac:dyDescent="0.25">
      <c r="A7" t="s">
        <v>689</v>
      </c>
      <c r="B7">
        <v>15000</v>
      </c>
      <c r="C7" t="s">
        <v>690</v>
      </c>
    </row>
    <row r="8" spans="1:6" x14ac:dyDescent="0.25">
      <c r="A8" t="s">
        <v>689</v>
      </c>
      <c r="B8">
        <v>300</v>
      </c>
      <c r="C8" t="s">
        <v>691</v>
      </c>
    </row>
    <row r="10" spans="1:6" x14ac:dyDescent="0.25">
      <c r="B10" t="s">
        <v>696</v>
      </c>
    </row>
    <row r="11" spans="1:6" x14ac:dyDescent="0.25">
      <c r="A11" t="s">
        <v>699</v>
      </c>
      <c r="B11" s="853">
        <v>365000</v>
      </c>
      <c r="C11" t="s">
        <v>704</v>
      </c>
    </row>
    <row r="12" spans="1:6" x14ac:dyDescent="0.25">
      <c r="A12" t="s">
        <v>692</v>
      </c>
      <c r="B12" s="853">
        <v>0</v>
      </c>
      <c r="C12" t="s">
        <v>697</v>
      </c>
      <c r="E12" t="s">
        <v>706</v>
      </c>
    </row>
    <row r="13" spans="1:6" ht="18" x14ac:dyDescent="0.35">
      <c r="A13" t="s">
        <v>693</v>
      </c>
      <c r="B13" s="853">
        <v>73000</v>
      </c>
      <c r="C13" t="s">
        <v>697</v>
      </c>
      <c r="E13" t="s">
        <v>712</v>
      </c>
      <c r="F13">
        <f>B13+B35*B34*B14</f>
        <v>207320</v>
      </c>
    </row>
    <row r="14" spans="1:6" ht="18" x14ac:dyDescent="0.35">
      <c r="A14" t="s">
        <v>694</v>
      </c>
      <c r="B14" s="853">
        <v>29200</v>
      </c>
      <c r="C14" t="s">
        <v>697</v>
      </c>
      <c r="E14" t="s">
        <v>713</v>
      </c>
      <c r="F14">
        <f>B12+B36*B13+B37*B15</f>
        <v>113150</v>
      </c>
    </row>
    <row r="15" spans="1:6" ht="18" x14ac:dyDescent="0.35">
      <c r="A15" t="s">
        <v>695</v>
      </c>
      <c r="B15" s="853">
        <v>10950</v>
      </c>
      <c r="C15" t="s">
        <v>697</v>
      </c>
      <c r="E15" t="s">
        <v>714</v>
      </c>
      <c r="F15">
        <f>B15</f>
        <v>10950</v>
      </c>
    </row>
    <row r="17" spans="1:6" x14ac:dyDescent="0.25">
      <c r="A17" s="269" t="s">
        <v>698</v>
      </c>
      <c r="E17" t="s">
        <v>705</v>
      </c>
    </row>
    <row r="18" spans="1:6" ht="18" x14ac:dyDescent="0.35">
      <c r="A18" t="s">
        <v>725</v>
      </c>
      <c r="B18" s="837">
        <v>29</v>
      </c>
      <c r="C18" s="837" t="s">
        <v>697</v>
      </c>
      <c r="E18" t="s">
        <v>715</v>
      </c>
      <c r="F18" s="841">
        <f>B11/B22</f>
        <v>5887.0967741935483</v>
      </c>
    </row>
    <row r="19" spans="1:6" ht="18" x14ac:dyDescent="0.35">
      <c r="A19" t="s">
        <v>726</v>
      </c>
      <c r="B19" s="837">
        <v>18</v>
      </c>
      <c r="C19" s="837" t="s">
        <v>697</v>
      </c>
      <c r="E19" t="s">
        <v>716</v>
      </c>
      <c r="F19" s="841">
        <f>F13/B23</f>
        <v>4373.8396624472571</v>
      </c>
    </row>
    <row r="20" spans="1:6" ht="18" x14ac:dyDescent="0.35">
      <c r="A20" t="s">
        <v>727</v>
      </c>
      <c r="B20" s="837">
        <v>4</v>
      </c>
      <c r="C20" s="837" t="s">
        <v>697</v>
      </c>
      <c r="E20" t="s">
        <v>717</v>
      </c>
      <c r="F20" s="841">
        <f>F14/B24</f>
        <v>3025.4010695187167</v>
      </c>
    </row>
    <row r="21" spans="1:6" ht="18" x14ac:dyDescent="0.35">
      <c r="A21" t="s">
        <v>728</v>
      </c>
      <c r="B21" s="837">
        <v>0.7</v>
      </c>
      <c r="C21" s="837" t="s">
        <v>697</v>
      </c>
      <c r="E21" t="s">
        <v>718</v>
      </c>
      <c r="F21" s="841">
        <f>F15/B21</f>
        <v>15642.857142857143</v>
      </c>
    </row>
    <row r="22" spans="1:6" ht="18" x14ac:dyDescent="0.35">
      <c r="A22" t="s">
        <v>729</v>
      </c>
      <c r="B22" s="837">
        <v>62</v>
      </c>
      <c r="C22" s="837" t="s">
        <v>704</v>
      </c>
    </row>
    <row r="23" spans="1:6" ht="18" x14ac:dyDescent="0.35">
      <c r="A23" t="s">
        <v>710</v>
      </c>
      <c r="B23">
        <f>B18+B35*B34*B20</f>
        <v>47.4</v>
      </c>
    </row>
    <row r="24" spans="1:6" ht="18" x14ac:dyDescent="0.35">
      <c r="A24" t="s">
        <v>711</v>
      </c>
      <c r="B24">
        <f>B19+B36*B18+B37*B21</f>
        <v>37.4</v>
      </c>
    </row>
    <row r="26" spans="1:6" x14ac:dyDescent="0.25">
      <c r="E26" t="s">
        <v>707</v>
      </c>
    </row>
    <row r="27" spans="1:6" ht="18" x14ac:dyDescent="0.35">
      <c r="A27" t="s">
        <v>734</v>
      </c>
      <c r="E27" t="s">
        <v>719</v>
      </c>
      <c r="F27" s="842">
        <f>F19/F18</f>
        <v>0.74295358649789023</v>
      </c>
    </row>
    <row r="28" spans="1:6" ht="18" x14ac:dyDescent="0.35">
      <c r="A28" t="s">
        <v>730</v>
      </c>
      <c r="B28" s="837">
        <v>0.35</v>
      </c>
      <c r="C28" s="837"/>
      <c r="E28" t="s">
        <v>720</v>
      </c>
      <c r="F28" s="842">
        <f>F20/F18</f>
        <v>0.51390374331550803</v>
      </c>
    </row>
    <row r="29" spans="1:6" ht="18" x14ac:dyDescent="0.35">
      <c r="A29" t="s">
        <v>731</v>
      </c>
      <c r="B29" s="837">
        <v>0.35</v>
      </c>
      <c r="C29" s="837"/>
      <c r="E29" t="s">
        <v>721</v>
      </c>
      <c r="F29" s="842">
        <f>F21/F18</f>
        <v>2.657142857142857</v>
      </c>
    </row>
    <row r="30" spans="1:6" ht="18" x14ac:dyDescent="0.35">
      <c r="A30" t="s">
        <v>732</v>
      </c>
      <c r="B30" s="837">
        <v>0.05</v>
      </c>
      <c r="C30" s="837"/>
    </row>
    <row r="31" spans="1:6" ht="18" x14ac:dyDescent="0.35">
      <c r="A31" t="s">
        <v>733</v>
      </c>
      <c r="B31" s="837">
        <v>0.25</v>
      </c>
      <c r="C31" s="837"/>
      <c r="E31" t="s">
        <v>708</v>
      </c>
    </row>
    <row r="32" spans="1:6" ht="18" x14ac:dyDescent="0.35">
      <c r="E32" t="s">
        <v>719</v>
      </c>
      <c r="F32" s="842">
        <f>IF(F27&lt;1,1,F27)</f>
        <v>1</v>
      </c>
    </row>
    <row r="33" spans="1:12" ht="18.75" thickBot="1" x14ac:dyDescent="0.4">
      <c r="A33" t="s">
        <v>735</v>
      </c>
      <c r="E33" t="s">
        <v>720</v>
      </c>
      <c r="F33" s="842">
        <f t="shared" ref="F33:F34" si="0">IF(F28&lt;1,1,F28)</f>
        <v>1</v>
      </c>
    </row>
    <row r="34" spans="1:12" ht="18" x14ac:dyDescent="0.35">
      <c r="A34" s="843" t="s">
        <v>701</v>
      </c>
      <c r="B34" s="854">
        <v>1</v>
      </c>
      <c r="C34" s="844"/>
      <c r="E34" t="s">
        <v>721</v>
      </c>
      <c r="F34" s="842">
        <f t="shared" si="0"/>
        <v>2.657142857142857</v>
      </c>
      <c r="L34" s="1335"/>
    </row>
    <row r="35" spans="1:12" x14ac:dyDescent="0.25">
      <c r="A35" s="845" t="s">
        <v>702</v>
      </c>
      <c r="B35" s="846">
        <v>4.5999999999999996</v>
      </c>
      <c r="C35" s="847" t="s">
        <v>697</v>
      </c>
    </row>
    <row r="36" spans="1:12" x14ac:dyDescent="0.25">
      <c r="A36" s="845" t="s">
        <v>700</v>
      </c>
      <c r="B36" s="846">
        <v>0.5</v>
      </c>
      <c r="C36" s="847" t="s">
        <v>697</v>
      </c>
      <c r="E36" t="s">
        <v>709</v>
      </c>
      <c r="L36" s="1353"/>
    </row>
    <row r="37" spans="1:12" ht="18.75" thickBot="1" x14ac:dyDescent="0.4">
      <c r="A37" s="848" t="s">
        <v>703</v>
      </c>
      <c r="B37" s="849">
        <v>7</v>
      </c>
      <c r="C37" s="850" t="s">
        <v>697</v>
      </c>
      <c r="E37" t="s">
        <v>722</v>
      </c>
      <c r="F37" s="851">
        <f>B28+B29*F32+B31*F33+B30*F34</f>
        <v>1.0828571428571427</v>
      </c>
      <c r="H37" s="842">
        <f>B28+B29*F27+B31*F28+B30*F29</f>
        <v>0.87136683396028147</v>
      </c>
      <c r="L37" s="1353"/>
    </row>
    <row r="38" spans="1:12" x14ac:dyDescent="0.25">
      <c r="L38" s="1354"/>
    </row>
    <row r="39" spans="1:12" ht="18" x14ac:dyDescent="0.35">
      <c r="E39" t="s">
        <v>723</v>
      </c>
      <c r="L39" s="1353"/>
    </row>
    <row r="40" spans="1:12" ht="18" x14ac:dyDescent="0.35">
      <c r="E40" t="s">
        <v>724</v>
      </c>
      <c r="F40" s="852">
        <f>F37*F18</f>
        <v>6374.8847926267272</v>
      </c>
      <c r="H40" s="841">
        <f>H37*F18</f>
        <v>5129.8208773468186</v>
      </c>
      <c r="L40" s="1353"/>
    </row>
  </sheetData>
  <sheetProtection password="D65F" sheet="1" objects="1" scenarios="1"/>
  <pageMargins left="0.7" right="0.7" top="0.78740157499999996" bottom="0.78740157499999996" header="0.3" footer="0.3"/>
  <pageSetup paperSize="9" scale="65" orientation="landscape"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AS71"/>
  <sheetViews>
    <sheetView showGridLines="0" showRowColHeaders="0" workbookViewId="0"/>
  </sheetViews>
  <sheetFormatPr baseColWidth="10" defaultColWidth="0" defaultRowHeight="15" zeroHeight="1" x14ac:dyDescent="0.25"/>
  <cols>
    <col min="1" max="3" width="3.7109375" style="192" customWidth="1"/>
    <col min="4" max="4" width="34" style="192" customWidth="1"/>
    <col min="5" max="5" width="10.7109375" style="192" customWidth="1"/>
    <col min="6" max="6" width="18.42578125" style="192" customWidth="1"/>
    <col min="7" max="8" width="1.7109375" style="192" customWidth="1"/>
    <col min="9" max="9" width="18.7109375" style="192" customWidth="1"/>
    <col min="10" max="10" width="12.7109375" style="192" customWidth="1"/>
    <col min="11" max="11" width="3.7109375" style="192" customWidth="1"/>
    <col min="12" max="12" width="15.7109375" style="192" customWidth="1"/>
    <col min="13" max="14" width="3.7109375" style="192" customWidth="1"/>
    <col min="15" max="15" width="15.7109375" style="192" customWidth="1"/>
    <col min="16" max="17" width="3.7109375" style="192" customWidth="1"/>
    <col min="18" max="18" width="15.7109375" style="192" customWidth="1"/>
    <col min="19" max="22" width="3.7109375" style="192" customWidth="1"/>
    <col min="23" max="23" width="34" style="192" customWidth="1"/>
    <col min="24" max="24" width="18.42578125" style="192" customWidth="1"/>
    <col min="25" max="25" width="5.7109375" style="192" customWidth="1"/>
    <col min="26" max="26" width="3.7109375" style="192" customWidth="1"/>
    <col min="27" max="27" width="18.7109375" style="192" customWidth="1"/>
    <col min="28" max="28" width="5.7109375" style="192" customWidth="1"/>
    <col min="29" max="29" width="18.7109375" style="192" customWidth="1"/>
    <col min="30" max="30" width="5.7109375" style="192" customWidth="1"/>
    <col min="31" max="31" width="18.7109375" style="192" customWidth="1"/>
    <col min="32" max="34" width="3.7109375" style="192" customWidth="1"/>
    <col min="35" max="38" width="11.42578125" style="192" customWidth="1"/>
    <col min="39" max="39" width="25.140625" style="192" customWidth="1"/>
    <col min="40" max="45" width="11.42578125" style="192" customWidth="1"/>
    <col min="46" max="16384" width="11.42578125" style="192" hidden="1"/>
  </cols>
  <sheetData>
    <row r="1" spans="2:33" x14ac:dyDescent="0.25"/>
    <row r="2" spans="2:33" ht="26.25" x14ac:dyDescent="0.4">
      <c r="D2" s="458" t="s">
        <v>1016</v>
      </c>
    </row>
    <row r="3" spans="2:33" x14ac:dyDescent="0.25"/>
    <row r="4" spans="2:33" x14ac:dyDescent="0.25"/>
    <row r="5" spans="2:33" ht="18" x14ac:dyDescent="0.25">
      <c r="F5" s="457" t="s">
        <v>904</v>
      </c>
      <c r="X5" s="457" t="s">
        <v>908</v>
      </c>
    </row>
    <row r="6" spans="2:33" x14ac:dyDescent="0.25"/>
    <row r="7" spans="2:33" x14ac:dyDescent="0.25">
      <c r="D7" s="192" t="s">
        <v>905</v>
      </c>
      <c r="W7" s="192" t="s">
        <v>1017</v>
      </c>
    </row>
    <row r="8" spans="2:33" x14ac:dyDescent="0.25">
      <c r="D8" s="192" t="s">
        <v>906</v>
      </c>
      <c r="W8" s="192" t="s">
        <v>1018</v>
      </c>
    </row>
    <row r="9" spans="2:33" x14ac:dyDescent="0.25">
      <c r="D9" s="192" t="s">
        <v>907</v>
      </c>
      <c r="W9" s="1018" t="s">
        <v>825</v>
      </c>
      <c r="X9" s="660"/>
      <c r="Y9" s="660"/>
      <c r="Z9" s="660"/>
      <c r="AA9" s="1012"/>
      <c r="AB9" s="660"/>
      <c r="AC9" s="660"/>
    </row>
    <row r="10" spans="2:33" x14ac:dyDescent="0.25">
      <c r="W10" s="717" t="s">
        <v>826</v>
      </c>
      <c r="X10" s="717" t="s">
        <v>827</v>
      </c>
      <c r="Y10" s="660"/>
      <c r="Z10" s="660"/>
      <c r="AA10" s="1019"/>
      <c r="AB10" s="660"/>
      <c r="AC10" s="660"/>
    </row>
    <row r="11" spans="2:33" ht="15.75" thickBot="1" x14ac:dyDescent="0.3"/>
    <row r="12" spans="2:33" ht="12.75" customHeight="1" x14ac:dyDescent="0.25">
      <c r="B12" s="953"/>
      <c r="C12" s="954"/>
      <c r="D12" s="954"/>
      <c r="E12" s="954"/>
      <c r="F12" s="954"/>
      <c r="G12" s="954"/>
      <c r="H12" s="954"/>
      <c r="I12" s="954"/>
      <c r="J12" s="954"/>
      <c r="K12" s="954"/>
      <c r="L12" s="954"/>
      <c r="M12" s="954"/>
      <c r="N12" s="954"/>
      <c r="O12" s="954"/>
      <c r="P12" s="954"/>
      <c r="Q12" s="954"/>
      <c r="R12" s="954"/>
      <c r="S12" s="954"/>
      <c r="T12" s="955"/>
      <c r="V12" s="1020"/>
      <c r="W12" s="1021"/>
      <c r="X12" s="1021"/>
      <c r="Y12" s="1021"/>
      <c r="Z12" s="1021"/>
      <c r="AA12" s="1021"/>
      <c r="AB12" s="1021"/>
      <c r="AC12" s="1021"/>
      <c r="AD12" s="1021"/>
      <c r="AE12" s="1021"/>
      <c r="AF12" s="1021"/>
      <c r="AG12" s="1022"/>
    </row>
    <row r="13" spans="2:33" ht="18" customHeight="1" x14ac:dyDescent="0.25">
      <c r="B13" s="956"/>
      <c r="C13" s="2011" t="s">
        <v>828</v>
      </c>
      <c r="D13" s="2011"/>
      <c r="E13" s="2011"/>
      <c r="F13" s="2011"/>
      <c r="G13" s="2011"/>
      <c r="H13" s="2011"/>
      <c r="I13" s="2011"/>
      <c r="J13" s="2011"/>
      <c r="K13" s="2011"/>
      <c r="L13" s="2011"/>
      <c r="M13" s="2011"/>
      <c r="N13" s="2011"/>
      <c r="O13" s="2011"/>
      <c r="P13" s="2011"/>
      <c r="Q13" s="2011"/>
      <c r="R13" s="2011"/>
      <c r="S13" s="2011"/>
      <c r="T13" s="958"/>
      <c r="V13" s="1023"/>
      <c r="W13" s="2005" t="s">
        <v>776</v>
      </c>
      <c r="X13" s="2005"/>
      <c r="Y13" s="2005"/>
      <c r="Z13" s="2005"/>
      <c r="AA13" s="2005"/>
      <c r="AB13" s="2005"/>
      <c r="AC13" s="2005"/>
      <c r="AD13" s="2005"/>
      <c r="AE13" s="2005"/>
      <c r="AF13" s="2005"/>
      <c r="AG13" s="1024"/>
    </row>
    <row r="14" spans="2:33" ht="15.75" thickBot="1" x14ac:dyDescent="0.3">
      <c r="B14" s="959"/>
      <c r="C14" s="960"/>
      <c r="D14" s="960"/>
      <c r="E14" s="960"/>
      <c r="F14" s="960"/>
      <c r="G14" s="960"/>
      <c r="H14" s="960"/>
      <c r="I14" s="960"/>
      <c r="J14" s="960"/>
      <c r="K14" s="960"/>
      <c r="L14" s="960"/>
      <c r="M14" s="960"/>
      <c r="N14" s="960"/>
      <c r="O14" s="960"/>
      <c r="P14" s="960"/>
      <c r="Q14" s="960"/>
      <c r="R14" s="960"/>
      <c r="S14" s="960"/>
      <c r="T14" s="961"/>
      <c r="V14" s="1025"/>
      <c r="W14" s="1026"/>
      <c r="X14" s="1026"/>
      <c r="Y14" s="1026"/>
      <c r="Z14" s="1026"/>
      <c r="AA14" s="1026"/>
      <c r="AB14" s="1026"/>
      <c r="AC14" s="1026"/>
      <c r="AD14" s="1026"/>
      <c r="AE14" s="1026"/>
      <c r="AF14" s="1026"/>
      <c r="AG14" s="1027"/>
    </row>
    <row r="15" spans="2:33" ht="18" customHeight="1" x14ac:dyDescent="0.25">
      <c r="B15" s="956"/>
      <c r="C15" s="2012" t="s">
        <v>777</v>
      </c>
      <c r="D15" s="2012"/>
      <c r="E15" s="2012"/>
      <c r="F15" s="2012"/>
      <c r="G15" s="2012"/>
      <c r="H15" s="2012"/>
      <c r="I15" s="2012"/>
      <c r="J15" s="2012"/>
      <c r="K15" s="2012"/>
      <c r="L15" s="2012"/>
      <c r="M15" s="2012"/>
      <c r="N15" s="2012"/>
      <c r="O15" s="2012"/>
      <c r="P15" s="2012"/>
      <c r="Q15" s="2012"/>
      <c r="R15" s="2012"/>
      <c r="S15" s="2012"/>
      <c r="T15" s="958"/>
      <c r="V15" s="1020"/>
      <c r="W15" s="2006" t="s">
        <v>777</v>
      </c>
      <c r="X15" s="2006"/>
      <c r="Y15" s="2006"/>
      <c r="Z15" s="2006"/>
      <c r="AA15" s="2006"/>
      <c r="AB15" s="2006"/>
      <c r="AC15" s="2006"/>
      <c r="AD15" s="2006"/>
      <c r="AE15" s="2006"/>
      <c r="AF15" s="2006"/>
      <c r="AG15" s="1022"/>
    </row>
    <row r="16" spans="2:33" x14ac:dyDescent="0.25">
      <c r="B16" s="956"/>
      <c r="C16" s="957"/>
      <c r="D16" s="957"/>
      <c r="E16" s="957"/>
      <c r="F16" s="957"/>
      <c r="G16" s="957"/>
      <c r="H16" s="957"/>
      <c r="I16" s="957"/>
      <c r="J16" s="957"/>
      <c r="K16" s="957"/>
      <c r="L16" s="957"/>
      <c r="M16" s="957"/>
      <c r="N16" s="957"/>
      <c r="O16" s="957"/>
      <c r="P16" s="957"/>
      <c r="Q16" s="957"/>
      <c r="R16" s="957"/>
      <c r="S16" s="957"/>
      <c r="T16" s="958"/>
      <c r="V16" s="1023"/>
      <c r="W16" s="1028"/>
      <c r="X16" s="1028"/>
      <c r="Y16" s="1028"/>
      <c r="Z16" s="1028"/>
      <c r="AA16" s="1028"/>
      <c r="AB16" s="1028"/>
      <c r="AC16" s="1028"/>
      <c r="AD16" s="1028"/>
      <c r="AE16" s="1028"/>
      <c r="AF16" s="1028"/>
      <c r="AG16" s="1024"/>
    </row>
    <row r="17" spans="2:44" ht="15" customHeight="1" x14ac:dyDescent="0.25">
      <c r="B17" s="956"/>
      <c r="C17" s="957"/>
      <c r="D17" s="2015" t="s">
        <v>829</v>
      </c>
      <c r="E17" s="2015"/>
      <c r="F17" s="2015"/>
      <c r="G17" s="2015"/>
      <c r="H17" s="2015"/>
      <c r="I17" s="2015"/>
      <c r="J17" s="2015"/>
      <c r="K17" s="2015"/>
      <c r="L17" s="2015"/>
      <c r="M17" s="2015"/>
      <c r="N17" s="2015"/>
      <c r="O17" s="2015"/>
      <c r="P17" s="2015"/>
      <c r="Q17" s="2015"/>
      <c r="R17" s="2015"/>
      <c r="S17" s="993"/>
      <c r="T17" s="962"/>
      <c r="V17" s="1023"/>
      <c r="W17" s="2016" t="s">
        <v>890</v>
      </c>
      <c r="X17" s="2016"/>
      <c r="Y17" s="2016"/>
      <c r="Z17" s="2016"/>
      <c r="AA17" s="2016"/>
      <c r="AB17" s="2016"/>
      <c r="AC17" s="2016"/>
      <c r="AD17" s="2016"/>
      <c r="AE17" s="2016"/>
      <c r="AF17" s="2016"/>
      <c r="AG17" s="1029"/>
    </row>
    <row r="18" spans="2:44" ht="15" customHeight="1" x14ac:dyDescent="0.25">
      <c r="B18" s="956"/>
      <c r="C18" s="957"/>
      <c r="D18" s="2015"/>
      <c r="E18" s="2015"/>
      <c r="F18" s="2015"/>
      <c r="G18" s="2015"/>
      <c r="H18" s="2015"/>
      <c r="I18" s="2015"/>
      <c r="J18" s="2015"/>
      <c r="K18" s="2015"/>
      <c r="L18" s="2015"/>
      <c r="M18" s="2015"/>
      <c r="N18" s="2015"/>
      <c r="O18" s="2015"/>
      <c r="P18" s="2015"/>
      <c r="Q18" s="2015"/>
      <c r="R18" s="2015"/>
      <c r="S18" s="993"/>
      <c r="T18" s="962"/>
      <c r="V18" s="1023"/>
      <c r="W18" s="2016"/>
      <c r="X18" s="2016"/>
      <c r="Y18" s="2016"/>
      <c r="Z18" s="2016"/>
      <c r="AA18" s="2016"/>
      <c r="AB18" s="2016"/>
      <c r="AC18" s="2016"/>
      <c r="AD18" s="2016"/>
      <c r="AE18" s="2016"/>
      <c r="AF18" s="2016"/>
      <c r="AG18" s="1029"/>
    </row>
    <row r="19" spans="2:44" x14ac:dyDescent="0.25">
      <c r="B19" s="956"/>
      <c r="C19" s="957"/>
      <c r="D19" s="2015"/>
      <c r="E19" s="2015"/>
      <c r="F19" s="2015"/>
      <c r="G19" s="2015"/>
      <c r="H19" s="2015"/>
      <c r="I19" s="2015"/>
      <c r="J19" s="2015"/>
      <c r="K19" s="2015"/>
      <c r="L19" s="2015"/>
      <c r="M19" s="2015"/>
      <c r="N19" s="2015"/>
      <c r="O19" s="2015"/>
      <c r="P19" s="2015"/>
      <c r="Q19" s="2015"/>
      <c r="R19" s="2015"/>
      <c r="S19" s="993"/>
      <c r="T19" s="962"/>
      <c r="V19" s="1023"/>
      <c r="W19" s="2016"/>
      <c r="X19" s="2016"/>
      <c r="Y19" s="2016"/>
      <c r="Z19" s="2016"/>
      <c r="AA19" s="2016"/>
      <c r="AB19" s="2016"/>
      <c r="AC19" s="2016"/>
      <c r="AD19" s="2016"/>
      <c r="AE19" s="2016"/>
      <c r="AF19" s="2016"/>
      <c r="AG19" s="1029"/>
    </row>
    <row r="20" spans="2:44" x14ac:dyDescent="0.25">
      <c r="B20" s="956"/>
      <c r="C20" s="957"/>
      <c r="D20" s="963"/>
      <c r="E20" s="963"/>
      <c r="F20" s="963"/>
      <c r="G20" s="963"/>
      <c r="H20" s="963"/>
      <c r="I20" s="963"/>
      <c r="J20" s="963"/>
      <c r="K20" s="963"/>
      <c r="L20" s="963"/>
      <c r="M20" s="963"/>
      <c r="N20" s="964"/>
      <c r="O20" s="964"/>
      <c r="P20" s="964"/>
      <c r="Q20" s="964"/>
      <c r="R20" s="964"/>
      <c r="S20" s="964"/>
      <c r="T20" s="962"/>
      <c r="V20" s="1023"/>
      <c r="W20" s="1028"/>
      <c r="X20" s="1028"/>
      <c r="Y20" s="1028"/>
      <c r="Z20" s="1028"/>
      <c r="AA20" s="1028"/>
      <c r="AB20" s="1028"/>
      <c r="AC20" s="1028"/>
      <c r="AD20" s="1028"/>
      <c r="AE20" s="1028"/>
      <c r="AF20" s="1028"/>
      <c r="AG20" s="1029"/>
    </row>
    <row r="21" spans="2:44" x14ac:dyDescent="0.25">
      <c r="B21" s="956"/>
      <c r="C21" s="957"/>
      <c r="D21" s="963"/>
      <c r="E21" s="963"/>
      <c r="F21" s="963"/>
      <c r="G21" s="963"/>
      <c r="H21" s="963"/>
      <c r="I21" s="963"/>
      <c r="J21" s="963"/>
      <c r="K21" s="963"/>
      <c r="L21" s="963"/>
      <c r="M21" s="963"/>
      <c r="N21" s="964"/>
      <c r="O21" s="964"/>
      <c r="P21" s="964"/>
      <c r="Q21" s="964"/>
      <c r="R21" s="964"/>
      <c r="S21" s="964"/>
      <c r="T21" s="962"/>
      <c r="V21" s="1023"/>
      <c r="W21" s="1030"/>
      <c r="X21" s="1030"/>
      <c r="Y21" s="1030"/>
      <c r="Z21" s="1030"/>
      <c r="AA21" s="1030"/>
      <c r="AB21" s="1030"/>
      <c r="AC21" s="1030"/>
      <c r="AD21" s="1030"/>
      <c r="AE21" s="1030"/>
      <c r="AF21" s="1030"/>
      <c r="AG21" s="1029"/>
    </row>
    <row r="22" spans="2:44" x14ac:dyDescent="0.25">
      <c r="B22" s="956"/>
      <c r="C22" s="965"/>
      <c r="D22" s="966"/>
      <c r="E22" s="966"/>
      <c r="F22" s="966"/>
      <c r="G22" s="964"/>
      <c r="H22" s="967"/>
      <c r="I22" s="967"/>
      <c r="J22" s="967"/>
      <c r="K22" s="967"/>
      <c r="L22" s="967"/>
      <c r="M22" s="967"/>
      <c r="N22" s="967"/>
      <c r="O22" s="967"/>
      <c r="P22" s="967"/>
      <c r="Q22" s="967"/>
      <c r="R22" s="967"/>
      <c r="S22" s="967"/>
      <c r="T22" s="962"/>
      <c r="V22" s="1023"/>
      <c r="W22" s="1031"/>
      <c r="X22" s="1031"/>
      <c r="Y22" s="1030"/>
      <c r="Z22" s="1032"/>
      <c r="AA22" s="1032"/>
      <c r="AB22" s="1032"/>
      <c r="AC22" s="1032"/>
      <c r="AD22" s="1032"/>
      <c r="AE22" s="1032"/>
      <c r="AF22" s="1032"/>
      <c r="AG22" s="1029"/>
    </row>
    <row r="23" spans="2:44" x14ac:dyDescent="0.25">
      <c r="B23" s="956"/>
      <c r="C23" s="965"/>
      <c r="D23" s="968" t="s">
        <v>830</v>
      </c>
      <c r="E23" s="968"/>
      <c r="F23" s="966"/>
      <c r="G23" s="964"/>
      <c r="H23" s="967"/>
      <c r="I23" s="969" t="s">
        <v>831</v>
      </c>
      <c r="J23" s="967"/>
      <c r="K23" s="967"/>
      <c r="L23" s="967"/>
      <c r="M23" s="967"/>
      <c r="N23" s="967"/>
      <c r="O23" s="967"/>
      <c r="P23" s="967"/>
      <c r="Q23" s="967"/>
      <c r="R23" s="967"/>
      <c r="S23" s="967"/>
      <c r="T23" s="962"/>
      <c r="V23" s="1023"/>
      <c r="W23" s="1033" t="s">
        <v>778</v>
      </c>
      <c r="X23" s="1034"/>
      <c r="Y23" s="1030"/>
      <c r="Z23" s="1035"/>
      <c r="AA23" s="1036" t="s">
        <v>782</v>
      </c>
      <c r="AB23" s="1036"/>
      <c r="AC23" s="1036"/>
      <c r="AD23" s="1035"/>
      <c r="AE23" s="1035"/>
      <c r="AF23" s="1035"/>
      <c r="AG23" s="1029"/>
    </row>
    <row r="24" spans="2:44" x14ac:dyDescent="0.25">
      <c r="B24" s="956"/>
      <c r="C24" s="965"/>
      <c r="D24" s="966" t="s">
        <v>832</v>
      </c>
      <c r="E24" s="966"/>
      <c r="F24" s="966"/>
      <c r="G24" s="964"/>
      <c r="H24" s="967"/>
      <c r="I24" s="967"/>
      <c r="J24" s="967"/>
      <c r="K24" s="967"/>
      <c r="L24" s="967"/>
      <c r="M24" s="967"/>
      <c r="N24" s="967"/>
      <c r="O24" s="967"/>
      <c r="P24" s="967"/>
      <c r="Q24" s="967"/>
      <c r="R24" s="967"/>
      <c r="S24" s="967"/>
      <c r="T24" s="962"/>
      <c r="V24" s="1023"/>
      <c r="W24" s="1034"/>
      <c r="X24" s="1034"/>
      <c r="Y24" s="1030"/>
      <c r="Z24" s="1035"/>
      <c r="AA24" s="1035"/>
      <c r="AB24" s="1035"/>
      <c r="AC24" s="1035"/>
      <c r="AD24" s="1035"/>
      <c r="AE24" s="1035"/>
      <c r="AF24" s="1035"/>
      <c r="AG24" s="1029"/>
    </row>
    <row r="25" spans="2:44" ht="30" customHeight="1" x14ac:dyDescent="0.25">
      <c r="B25" s="956"/>
      <c r="C25" s="965"/>
      <c r="D25" s="970" t="s">
        <v>779</v>
      </c>
      <c r="E25" s="971" t="s">
        <v>883</v>
      </c>
      <c r="F25" s="971" t="s">
        <v>305</v>
      </c>
      <c r="G25" s="964"/>
      <c r="H25" s="967"/>
      <c r="I25" s="2013" t="s">
        <v>833</v>
      </c>
      <c r="J25" s="2013"/>
      <c r="K25" s="2010" t="s">
        <v>834</v>
      </c>
      <c r="L25" s="2010"/>
      <c r="M25" s="2010"/>
      <c r="N25" s="2010" t="s">
        <v>880</v>
      </c>
      <c r="O25" s="2010"/>
      <c r="P25" s="2010"/>
      <c r="Q25" s="972"/>
      <c r="R25" s="972" t="s">
        <v>881</v>
      </c>
      <c r="S25" s="972"/>
      <c r="T25" s="962"/>
      <c r="V25" s="1023"/>
      <c r="W25" s="1037" t="s">
        <v>779</v>
      </c>
      <c r="X25" s="1038" t="s">
        <v>780</v>
      </c>
      <c r="Y25" s="1030"/>
      <c r="Z25" s="1035"/>
      <c r="AA25" s="1583" t="s">
        <v>781</v>
      </c>
      <c r="AB25" s="1118"/>
      <c r="AC25" s="1117" t="s">
        <v>1213</v>
      </c>
      <c r="AD25" s="1036"/>
      <c r="AE25" s="1117" t="s">
        <v>881</v>
      </c>
      <c r="AF25" s="1035"/>
      <c r="AG25" s="1029"/>
      <c r="AK25" s="682"/>
      <c r="AM25" s="269" t="s">
        <v>885</v>
      </c>
      <c r="AN25"/>
      <c r="AO25"/>
      <c r="AP25"/>
      <c r="AQ25" s="2003" t="s">
        <v>801</v>
      </c>
      <c r="AR25" s="2003"/>
    </row>
    <row r="26" spans="2:44" ht="20.100000000000001" customHeight="1" x14ac:dyDescent="0.25">
      <c r="B26" s="956"/>
      <c r="C26" s="965"/>
      <c r="D26" s="966"/>
      <c r="E26" s="1010" t="s">
        <v>882</v>
      </c>
      <c r="F26" s="970"/>
      <c r="G26" s="964"/>
      <c r="H26" s="967"/>
      <c r="I26" s="973"/>
      <c r="J26" s="974"/>
      <c r="K26" s="975"/>
      <c r="L26" s="974" t="s">
        <v>690</v>
      </c>
      <c r="M26" s="974"/>
      <c r="N26" s="967"/>
      <c r="O26" s="1008" t="s">
        <v>754</v>
      </c>
      <c r="P26" s="1009"/>
      <c r="Q26" s="1009"/>
      <c r="R26" s="1008" t="s">
        <v>754</v>
      </c>
      <c r="S26" s="967"/>
      <c r="T26" s="962"/>
      <c r="V26" s="1023"/>
      <c r="W26" s="1034"/>
      <c r="X26" s="1037" t="s">
        <v>229</v>
      </c>
      <c r="Y26" s="1028"/>
      <c r="Z26" s="1035"/>
      <c r="AA26" s="1039" t="s">
        <v>754</v>
      </c>
      <c r="AB26" s="1035"/>
      <c r="AC26" s="1040" t="s">
        <v>754</v>
      </c>
      <c r="AD26" s="1035"/>
      <c r="AE26" s="1040" t="s">
        <v>754</v>
      </c>
      <c r="AF26" s="1035"/>
      <c r="AG26" s="1029"/>
      <c r="AK26" s="1012"/>
      <c r="AL26" s="1041"/>
      <c r="AM26" s="1013"/>
      <c r="AN26" s="1014" t="s">
        <v>882</v>
      </c>
      <c r="AO26" s="1014" t="s">
        <v>300</v>
      </c>
      <c r="AP26" s="1015" t="s">
        <v>884</v>
      </c>
      <c r="AQ26" s="1016" t="s">
        <v>362</v>
      </c>
      <c r="AR26" s="1016" t="s">
        <v>363</v>
      </c>
    </row>
    <row r="27" spans="2:44" ht="20.100000000000001" customHeight="1" x14ac:dyDescent="0.25">
      <c r="B27" s="956"/>
      <c r="C27" s="965"/>
      <c r="D27" s="976" t="s">
        <v>835</v>
      </c>
      <c r="E27" s="977">
        <v>36</v>
      </c>
      <c r="F27" s="978" t="s">
        <v>836</v>
      </c>
      <c r="G27" s="979"/>
      <c r="H27" s="980"/>
      <c r="I27" s="1064" t="s">
        <v>837</v>
      </c>
      <c r="J27" s="1580"/>
      <c r="K27" s="975"/>
      <c r="L27" s="1005">
        <f>J27*E27*14*310</f>
        <v>0</v>
      </c>
      <c r="M27" s="1003"/>
      <c r="N27" s="967"/>
      <c r="O27" s="1006">
        <f t="shared" ref="O27:O41" si="0">L27*$L$45</f>
        <v>0</v>
      </c>
      <c r="P27" s="967"/>
      <c r="Q27" s="967"/>
      <c r="R27" s="1306" t="str">
        <f>FIXED(J27*AQ27*14*310*$L$45,0)&amp;" - "&amp;FIXED(J27*AR27*14*310*$L$45,0)</f>
        <v>0 - 0</v>
      </c>
      <c r="S27" s="967"/>
      <c r="T27" s="962"/>
      <c r="V27" s="1023"/>
      <c r="W27" s="1042" t="s">
        <v>792</v>
      </c>
      <c r="X27" s="1042">
        <v>1.9</v>
      </c>
      <c r="Y27" s="1030"/>
      <c r="Z27" s="1035"/>
      <c r="AA27" s="1564"/>
      <c r="AB27" s="1035"/>
      <c r="AC27" s="1043">
        <f t="shared" ref="AC27:AC34" si="1">X27*AA27/100</f>
        <v>0</v>
      </c>
      <c r="AD27" s="1035"/>
      <c r="AE27" s="1044" t="str">
        <f t="shared" ref="AE27:AE34" si="2">FIXED(AC27*0.2,0)&amp;" - "&amp;FIXED(AC27*0.4,0)</f>
        <v>0 - 0</v>
      </c>
      <c r="AF27" s="1035"/>
      <c r="AG27" s="1029"/>
      <c r="AK27" s="1012"/>
      <c r="AM27" s="976" t="s">
        <v>835</v>
      </c>
      <c r="AN27" s="977">
        <v>36</v>
      </c>
      <c r="AO27" s="977">
        <v>27</v>
      </c>
      <c r="AP27" s="1116">
        <v>30</v>
      </c>
      <c r="AQ27" s="1017">
        <f>AN27-AP27</f>
        <v>6</v>
      </c>
      <c r="AR27" s="1017">
        <f>(AN27-AO27)</f>
        <v>9</v>
      </c>
    </row>
    <row r="28" spans="2:44" ht="20.100000000000001" customHeight="1" x14ac:dyDescent="0.25">
      <c r="B28" s="956"/>
      <c r="C28" s="965"/>
      <c r="D28" s="976" t="s">
        <v>838</v>
      </c>
      <c r="E28" s="977">
        <v>150</v>
      </c>
      <c r="F28" s="981" t="s">
        <v>839</v>
      </c>
      <c r="G28" s="979"/>
      <c r="H28" s="980"/>
      <c r="I28" s="1065" t="s">
        <v>840</v>
      </c>
      <c r="J28" s="1581"/>
      <c r="K28" s="975"/>
      <c r="L28" s="1005">
        <f t="shared" ref="L28:L39" si="3">E28*J28*310/1000</f>
        <v>0</v>
      </c>
      <c r="M28" s="1003"/>
      <c r="N28" s="967"/>
      <c r="O28" s="1006">
        <f t="shared" si="0"/>
        <v>0</v>
      </c>
      <c r="P28" s="967"/>
      <c r="Q28" s="967"/>
      <c r="R28" s="1306" t="str">
        <f>FIXED(J28*AQ28*310/1000*$L$45,0)&amp;" - "&amp;FIXED(J28*AR28*310/1000*$L$45,0)</f>
        <v>0 - 0</v>
      </c>
      <c r="S28" s="967"/>
      <c r="T28" s="962"/>
      <c r="V28" s="1023"/>
      <c r="W28" s="1042" t="s">
        <v>785</v>
      </c>
      <c r="X28" s="1042">
        <v>3.1</v>
      </c>
      <c r="Y28" s="1030"/>
      <c r="Z28" s="1035"/>
      <c r="AA28" s="1564"/>
      <c r="AB28" s="1035"/>
      <c r="AC28" s="1043">
        <f t="shared" si="1"/>
        <v>0</v>
      </c>
      <c r="AD28" s="1035"/>
      <c r="AE28" s="1044" t="str">
        <f t="shared" si="2"/>
        <v>0 - 0</v>
      </c>
      <c r="AF28" s="1035"/>
      <c r="AG28" s="1029"/>
      <c r="AK28" s="1012"/>
      <c r="AM28" s="976" t="s">
        <v>838</v>
      </c>
      <c r="AN28" s="977">
        <v>150</v>
      </c>
      <c r="AO28" s="977">
        <v>130</v>
      </c>
      <c r="AP28" s="1116">
        <v>140</v>
      </c>
      <c r="AQ28" s="1017">
        <f t="shared" ref="AQ28:AQ41" si="4">AN28-AP28</f>
        <v>10</v>
      </c>
      <c r="AR28" s="1017">
        <f t="shared" ref="AR28:AR41" si="5">(AN28-AO28)</f>
        <v>20</v>
      </c>
    </row>
    <row r="29" spans="2:44" ht="20.100000000000001" customHeight="1" x14ac:dyDescent="0.25">
      <c r="B29" s="956"/>
      <c r="C29" s="965"/>
      <c r="D29" s="976" t="s">
        <v>794</v>
      </c>
      <c r="E29" s="977">
        <v>200</v>
      </c>
      <c r="F29" s="981" t="s">
        <v>839</v>
      </c>
      <c r="G29" s="979"/>
      <c r="H29" s="980"/>
      <c r="I29" s="1065" t="s">
        <v>840</v>
      </c>
      <c r="J29" s="1581"/>
      <c r="K29" s="975"/>
      <c r="L29" s="1005">
        <f t="shared" si="3"/>
        <v>0</v>
      </c>
      <c r="M29" s="1003"/>
      <c r="N29" s="967"/>
      <c r="O29" s="1006">
        <f t="shared" si="0"/>
        <v>0</v>
      </c>
      <c r="P29" s="967"/>
      <c r="Q29" s="967"/>
      <c r="R29" s="1306" t="str">
        <f t="shared" ref="R29:R41" si="6">FIXED(J29*AQ29*310/1000*$L$45,0)&amp;" - "&amp;FIXED(J29*AR29*310/1000*$L$45,0)</f>
        <v>0 - 0</v>
      </c>
      <c r="S29" s="967"/>
      <c r="T29" s="962"/>
      <c r="V29" s="1023"/>
      <c r="W29" s="1042" t="s">
        <v>794</v>
      </c>
      <c r="X29" s="1042">
        <v>2</v>
      </c>
      <c r="Y29" s="1030"/>
      <c r="Z29" s="1035"/>
      <c r="AA29" s="1564"/>
      <c r="AB29" s="1035"/>
      <c r="AC29" s="1043">
        <f t="shared" si="1"/>
        <v>0</v>
      </c>
      <c r="AD29" s="1035"/>
      <c r="AE29" s="1044" t="str">
        <f t="shared" si="2"/>
        <v>0 - 0</v>
      </c>
      <c r="AF29" s="1035"/>
      <c r="AG29" s="1029"/>
      <c r="AK29" s="1012"/>
      <c r="AM29" s="976" t="s">
        <v>794</v>
      </c>
      <c r="AN29" s="977">
        <v>200</v>
      </c>
      <c r="AO29" s="977">
        <v>100</v>
      </c>
      <c r="AP29" s="1116">
        <v>150</v>
      </c>
      <c r="AQ29" s="1017">
        <f t="shared" si="4"/>
        <v>50</v>
      </c>
      <c r="AR29" s="1017">
        <f t="shared" si="5"/>
        <v>100</v>
      </c>
    </row>
    <row r="30" spans="2:44" ht="20.100000000000001" customHeight="1" x14ac:dyDescent="0.25">
      <c r="B30" s="956"/>
      <c r="C30" s="965"/>
      <c r="D30" s="976" t="s">
        <v>841</v>
      </c>
      <c r="E30" s="977">
        <v>65</v>
      </c>
      <c r="F30" s="981" t="s">
        <v>839</v>
      </c>
      <c r="G30" s="979"/>
      <c r="H30" s="980"/>
      <c r="I30" s="1065" t="s">
        <v>840</v>
      </c>
      <c r="J30" s="1581"/>
      <c r="K30" s="975"/>
      <c r="L30" s="1005">
        <f t="shared" si="3"/>
        <v>0</v>
      </c>
      <c r="M30" s="1003"/>
      <c r="N30" s="967"/>
      <c r="O30" s="1006">
        <f t="shared" si="0"/>
        <v>0</v>
      </c>
      <c r="P30" s="967"/>
      <c r="Q30" s="967"/>
      <c r="R30" s="1306" t="str">
        <f t="shared" si="6"/>
        <v>0 - 0</v>
      </c>
      <c r="S30" s="967"/>
      <c r="T30" s="962"/>
      <c r="V30" s="1023"/>
      <c r="W30" s="1042" t="s">
        <v>788</v>
      </c>
      <c r="X30" s="1042">
        <v>1.7</v>
      </c>
      <c r="Y30" s="1030"/>
      <c r="Z30" s="1035"/>
      <c r="AA30" s="1564"/>
      <c r="AB30" s="1035"/>
      <c r="AC30" s="1043">
        <f t="shared" si="1"/>
        <v>0</v>
      </c>
      <c r="AD30" s="1035"/>
      <c r="AE30" s="1044" t="str">
        <f t="shared" si="2"/>
        <v>0 - 0</v>
      </c>
      <c r="AF30" s="1035"/>
      <c r="AG30" s="1029"/>
      <c r="AK30" s="1012"/>
      <c r="AM30" s="976" t="s">
        <v>841</v>
      </c>
      <c r="AN30" s="977">
        <v>65</v>
      </c>
      <c r="AO30" s="977">
        <v>30</v>
      </c>
      <c r="AP30" s="1116">
        <v>47.5</v>
      </c>
      <c r="AQ30" s="1017">
        <f t="shared" si="4"/>
        <v>17.5</v>
      </c>
      <c r="AR30" s="1017">
        <f t="shared" si="5"/>
        <v>35</v>
      </c>
    </row>
    <row r="31" spans="2:44" ht="20.100000000000001" customHeight="1" x14ac:dyDescent="0.25">
      <c r="B31" s="956"/>
      <c r="C31" s="965"/>
      <c r="D31" s="976" t="s">
        <v>842</v>
      </c>
      <c r="E31" s="977">
        <v>20</v>
      </c>
      <c r="F31" s="981" t="s">
        <v>843</v>
      </c>
      <c r="G31" s="982"/>
      <c r="H31" s="983"/>
      <c r="I31" s="1065" t="s">
        <v>844</v>
      </c>
      <c r="J31" s="1581"/>
      <c r="K31" s="975"/>
      <c r="L31" s="1005">
        <f t="shared" si="3"/>
        <v>0</v>
      </c>
      <c r="M31" s="1003"/>
      <c r="N31" s="967"/>
      <c r="O31" s="1006">
        <f t="shared" si="0"/>
        <v>0</v>
      </c>
      <c r="P31" s="967"/>
      <c r="Q31" s="967"/>
      <c r="R31" s="1306" t="str">
        <f t="shared" si="6"/>
        <v>0 - 0</v>
      </c>
      <c r="S31" s="967"/>
      <c r="T31" s="962"/>
      <c r="V31" s="1023"/>
      <c r="W31" s="1042" t="s">
        <v>789</v>
      </c>
      <c r="X31" s="1042">
        <v>4.5</v>
      </c>
      <c r="Y31" s="1030"/>
      <c r="Z31" s="1035"/>
      <c r="AA31" s="1564"/>
      <c r="AB31" s="1035"/>
      <c r="AC31" s="1043">
        <f t="shared" si="1"/>
        <v>0</v>
      </c>
      <c r="AD31" s="1035"/>
      <c r="AE31" s="1044" t="str">
        <f t="shared" si="2"/>
        <v>0 - 0</v>
      </c>
      <c r="AF31" s="1035"/>
      <c r="AG31" s="1029"/>
      <c r="AK31" s="1012"/>
      <c r="AM31" s="976" t="s">
        <v>842</v>
      </c>
      <c r="AN31" s="977">
        <v>20</v>
      </c>
      <c r="AO31" s="977">
        <v>15</v>
      </c>
      <c r="AP31" s="1116">
        <v>17.5</v>
      </c>
      <c r="AQ31" s="1017">
        <f t="shared" si="4"/>
        <v>2.5</v>
      </c>
      <c r="AR31" s="1017">
        <f t="shared" si="5"/>
        <v>5</v>
      </c>
    </row>
    <row r="32" spans="2:44" ht="20.100000000000001" customHeight="1" x14ac:dyDescent="0.25">
      <c r="B32" s="956"/>
      <c r="C32" s="965"/>
      <c r="D32" s="976" t="s">
        <v>845</v>
      </c>
      <c r="E32" s="977">
        <v>0.8</v>
      </c>
      <c r="F32" s="981" t="s">
        <v>846</v>
      </c>
      <c r="G32" s="979"/>
      <c r="H32" s="980"/>
      <c r="I32" s="1065" t="s">
        <v>891</v>
      </c>
      <c r="J32" s="1581"/>
      <c r="K32" s="975"/>
      <c r="L32" s="1005">
        <f t="shared" si="3"/>
        <v>0</v>
      </c>
      <c r="M32" s="1003"/>
      <c r="N32" s="967"/>
      <c r="O32" s="1006">
        <f t="shared" si="0"/>
        <v>0</v>
      </c>
      <c r="P32" s="967"/>
      <c r="Q32" s="967"/>
      <c r="R32" s="1306" t="str">
        <f t="shared" si="6"/>
        <v>0 - 0</v>
      </c>
      <c r="S32" s="967"/>
      <c r="T32" s="962"/>
      <c r="V32" s="1023"/>
      <c r="W32" s="1042" t="s">
        <v>787</v>
      </c>
      <c r="X32" s="1042">
        <v>0.9</v>
      </c>
      <c r="Y32" s="1028"/>
      <c r="Z32" s="1032"/>
      <c r="AA32" s="1584"/>
      <c r="AB32" s="1032"/>
      <c r="AC32" s="1043">
        <f t="shared" si="1"/>
        <v>0</v>
      </c>
      <c r="AD32" s="1035"/>
      <c r="AE32" s="1044" t="str">
        <f t="shared" si="2"/>
        <v>0 - 0</v>
      </c>
      <c r="AF32" s="1035"/>
      <c r="AG32" s="1029"/>
      <c r="AK32" s="1012"/>
      <c r="AM32" s="976" t="s">
        <v>845</v>
      </c>
      <c r="AN32" s="977">
        <v>0.8</v>
      </c>
      <c r="AO32" s="977">
        <v>0.6</v>
      </c>
      <c r="AP32" s="1116">
        <v>0.7</v>
      </c>
      <c r="AQ32" s="1017">
        <f t="shared" si="4"/>
        <v>0.10000000000000009</v>
      </c>
      <c r="AR32" s="1017">
        <f t="shared" si="5"/>
        <v>0.20000000000000007</v>
      </c>
    </row>
    <row r="33" spans="2:44" ht="20.100000000000001" customHeight="1" x14ac:dyDescent="0.25">
      <c r="B33" s="956"/>
      <c r="C33" s="965"/>
      <c r="D33" s="976" t="s">
        <v>847</v>
      </c>
      <c r="E33" s="977">
        <v>60</v>
      </c>
      <c r="F33" s="981" t="s">
        <v>848</v>
      </c>
      <c r="G33" s="979"/>
      <c r="H33" s="980"/>
      <c r="I33" s="1065" t="s">
        <v>849</v>
      </c>
      <c r="J33" s="1581"/>
      <c r="K33" s="975"/>
      <c r="L33" s="1005">
        <f t="shared" si="3"/>
        <v>0</v>
      </c>
      <c r="M33" s="1003"/>
      <c r="N33" s="967"/>
      <c r="O33" s="1006">
        <f t="shared" si="0"/>
        <v>0</v>
      </c>
      <c r="P33" s="967"/>
      <c r="Q33" s="967"/>
      <c r="R33" s="1306" t="str">
        <f t="shared" si="6"/>
        <v>0 - 0</v>
      </c>
      <c r="S33" s="967"/>
      <c r="T33" s="962"/>
      <c r="V33" s="1023"/>
      <c r="W33" s="1042" t="s">
        <v>790</v>
      </c>
      <c r="X33" s="1042">
        <v>0.4</v>
      </c>
      <c r="Y33" s="1030"/>
      <c r="Z33" s="1035"/>
      <c r="AA33" s="1564"/>
      <c r="AB33" s="1035"/>
      <c r="AC33" s="1043">
        <f t="shared" si="1"/>
        <v>0</v>
      </c>
      <c r="AD33" s="1035"/>
      <c r="AE33" s="1044" t="str">
        <f t="shared" si="2"/>
        <v>0 - 0</v>
      </c>
      <c r="AF33" s="1035"/>
      <c r="AG33" s="1029"/>
      <c r="AK33" s="1012"/>
      <c r="AM33" s="976" t="s">
        <v>847</v>
      </c>
      <c r="AN33" s="977">
        <v>60</v>
      </c>
      <c r="AO33" s="977">
        <v>40</v>
      </c>
      <c r="AP33" s="1116">
        <v>50</v>
      </c>
      <c r="AQ33" s="1017">
        <f t="shared" si="4"/>
        <v>10</v>
      </c>
      <c r="AR33" s="1017">
        <f t="shared" si="5"/>
        <v>20</v>
      </c>
    </row>
    <row r="34" spans="2:44" ht="20.100000000000001" customHeight="1" x14ac:dyDescent="0.25">
      <c r="B34" s="956"/>
      <c r="C34" s="965"/>
      <c r="D34" s="976" t="s">
        <v>850</v>
      </c>
      <c r="E34" s="977">
        <v>40</v>
      </c>
      <c r="F34" s="981" t="s">
        <v>851</v>
      </c>
      <c r="G34" s="979"/>
      <c r="H34" s="980"/>
      <c r="I34" s="1065" t="s">
        <v>852</v>
      </c>
      <c r="J34" s="1581"/>
      <c r="K34" s="975"/>
      <c r="L34" s="1005">
        <f t="shared" si="3"/>
        <v>0</v>
      </c>
      <c r="M34" s="1003"/>
      <c r="N34" s="967"/>
      <c r="O34" s="1006">
        <f t="shared" si="0"/>
        <v>0</v>
      </c>
      <c r="P34" s="967"/>
      <c r="Q34" s="967"/>
      <c r="R34" s="1306" t="str">
        <f t="shared" si="6"/>
        <v>0 - 0</v>
      </c>
      <c r="S34" s="967"/>
      <c r="T34" s="962"/>
      <c r="V34" s="1023"/>
      <c r="W34" s="1042" t="s">
        <v>796</v>
      </c>
      <c r="X34" s="1042">
        <v>10</v>
      </c>
      <c r="Y34" s="1030"/>
      <c r="Z34" s="1035"/>
      <c r="AA34" s="1564"/>
      <c r="AB34" s="1035"/>
      <c r="AC34" s="1043">
        <f t="shared" si="1"/>
        <v>0</v>
      </c>
      <c r="AD34" s="1035"/>
      <c r="AE34" s="1044" t="str">
        <f t="shared" si="2"/>
        <v>0 - 0</v>
      </c>
      <c r="AF34" s="1035"/>
      <c r="AG34" s="1029"/>
      <c r="AK34" s="1012"/>
      <c r="AM34" s="976" t="s">
        <v>850</v>
      </c>
      <c r="AN34" s="977">
        <v>40</v>
      </c>
      <c r="AO34" s="977">
        <v>30</v>
      </c>
      <c r="AP34" s="1116">
        <v>35</v>
      </c>
      <c r="AQ34" s="1017">
        <f t="shared" si="4"/>
        <v>5</v>
      </c>
      <c r="AR34" s="1017">
        <f t="shared" si="5"/>
        <v>10</v>
      </c>
    </row>
    <row r="35" spans="2:44" ht="20.100000000000001" customHeight="1" x14ac:dyDescent="0.25">
      <c r="B35" s="956"/>
      <c r="C35" s="965"/>
      <c r="D35" s="976" t="s">
        <v>853</v>
      </c>
      <c r="E35" s="977">
        <v>50</v>
      </c>
      <c r="F35" s="981" t="s">
        <v>839</v>
      </c>
      <c r="G35" s="979"/>
      <c r="H35" s="980"/>
      <c r="I35" s="1065" t="s">
        <v>840</v>
      </c>
      <c r="J35" s="1581"/>
      <c r="K35" s="975"/>
      <c r="L35" s="1005">
        <f t="shared" si="3"/>
        <v>0</v>
      </c>
      <c r="M35" s="1003"/>
      <c r="N35" s="967"/>
      <c r="O35" s="1006">
        <f t="shared" si="0"/>
        <v>0</v>
      </c>
      <c r="P35" s="967"/>
      <c r="Q35" s="967"/>
      <c r="R35" s="1306" t="str">
        <f t="shared" si="6"/>
        <v>0 - 0</v>
      </c>
      <c r="S35" s="967"/>
      <c r="T35" s="962"/>
      <c r="V35" s="1023"/>
      <c r="W35" s="1031"/>
      <c r="X35" s="1031"/>
      <c r="Y35" s="1028"/>
      <c r="Z35" s="1032"/>
      <c r="AA35" s="1032"/>
      <c r="AB35" s="1032"/>
      <c r="AC35" s="1032"/>
      <c r="AD35" s="1032"/>
      <c r="AE35" s="1045"/>
      <c r="AF35" s="1032"/>
      <c r="AG35" s="1029"/>
      <c r="AK35" s="1012"/>
      <c r="AM35" s="976" t="s">
        <v>853</v>
      </c>
      <c r="AN35" s="977">
        <v>50</v>
      </c>
      <c r="AO35" s="977">
        <v>40</v>
      </c>
      <c r="AP35" s="1116">
        <v>45</v>
      </c>
      <c r="AQ35" s="1017">
        <f t="shared" si="4"/>
        <v>5</v>
      </c>
      <c r="AR35" s="1017">
        <f t="shared" si="5"/>
        <v>10</v>
      </c>
    </row>
    <row r="36" spans="2:44" ht="20.100000000000001" customHeight="1" x14ac:dyDescent="0.25">
      <c r="B36" s="956"/>
      <c r="C36" s="965"/>
      <c r="D36" s="976" t="s">
        <v>791</v>
      </c>
      <c r="E36" s="977">
        <v>290</v>
      </c>
      <c r="F36" s="981" t="s">
        <v>854</v>
      </c>
      <c r="G36" s="979"/>
      <c r="H36" s="980"/>
      <c r="I36" s="1065" t="s">
        <v>844</v>
      </c>
      <c r="J36" s="1581"/>
      <c r="K36" s="975"/>
      <c r="L36" s="1005">
        <f t="shared" si="3"/>
        <v>0</v>
      </c>
      <c r="M36" s="1003"/>
      <c r="N36" s="967"/>
      <c r="O36" s="1006">
        <f t="shared" si="0"/>
        <v>0</v>
      </c>
      <c r="P36" s="967"/>
      <c r="Q36" s="967"/>
      <c r="R36" s="1306" t="str">
        <f t="shared" si="6"/>
        <v>0 - 0</v>
      </c>
      <c r="S36" s="967"/>
      <c r="T36" s="962"/>
      <c r="V36" s="1023"/>
      <c r="W36" s="1042" t="s">
        <v>791</v>
      </c>
      <c r="X36" s="1042">
        <v>4.5</v>
      </c>
      <c r="Y36" s="1030"/>
      <c r="Z36" s="1035"/>
      <c r="AA36" s="1564"/>
      <c r="AB36" s="1035"/>
      <c r="AC36" s="1043">
        <f t="shared" ref="AC36:AC41" si="7">X36*AA36/100</f>
        <v>0</v>
      </c>
      <c r="AD36" s="1035"/>
      <c r="AE36" s="1044" t="str">
        <f t="shared" ref="AE36:AE41" si="8">FIXED(AC36*0.2,0)&amp;" - "&amp;FIXED(AC36*0.4,0)</f>
        <v>0 - 0</v>
      </c>
      <c r="AF36" s="1035"/>
      <c r="AG36" s="1029"/>
      <c r="AK36" s="1012"/>
      <c r="AM36" s="976" t="s">
        <v>791</v>
      </c>
      <c r="AN36" s="977">
        <v>290</v>
      </c>
      <c r="AO36" s="977">
        <v>50</v>
      </c>
      <c r="AP36" s="1116">
        <v>200</v>
      </c>
      <c r="AQ36" s="1017">
        <f t="shared" si="4"/>
        <v>90</v>
      </c>
      <c r="AR36" s="1017">
        <f t="shared" si="5"/>
        <v>240</v>
      </c>
    </row>
    <row r="37" spans="2:44" ht="20.100000000000001" customHeight="1" x14ac:dyDescent="0.25">
      <c r="B37" s="956"/>
      <c r="C37" s="965"/>
      <c r="D37" s="976" t="s">
        <v>855</v>
      </c>
      <c r="E37" s="977">
        <v>35</v>
      </c>
      <c r="F37" s="981" t="s">
        <v>839</v>
      </c>
      <c r="G37" s="979"/>
      <c r="H37" s="980"/>
      <c r="I37" s="1065" t="s">
        <v>840</v>
      </c>
      <c r="J37" s="1581"/>
      <c r="K37" s="975"/>
      <c r="L37" s="1005">
        <f t="shared" si="3"/>
        <v>0</v>
      </c>
      <c r="M37" s="1003"/>
      <c r="N37" s="967"/>
      <c r="O37" s="1006">
        <f t="shared" si="0"/>
        <v>0</v>
      </c>
      <c r="P37" s="967"/>
      <c r="Q37" s="967"/>
      <c r="R37" s="1306" t="str">
        <f t="shared" si="6"/>
        <v>0 - 0</v>
      </c>
      <c r="S37" s="967"/>
      <c r="T37" s="962"/>
      <c r="V37" s="1023"/>
      <c r="W37" s="1042" t="s">
        <v>783</v>
      </c>
      <c r="X37" s="1042">
        <v>2.2000000000000002</v>
      </c>
      <c r="Y37" s="1030"/>
      <c r="Z37" s="1035"/>
      <c r="AA37" s="1564"/>
      <c r="AB37" s="1035"/>
      <c r="AC37" s="1043">
        <f t="shared" si="7"/>
        <v>0</v>
      </c>
      <c r="AD37" s="1035"/>
      <c r="AE37" s="1044" t="str">
        <f t="shared" si="8"/>
        <v>0 - 0</v>
      </c>
      <c r="AF37" s="1035"/>
      <c r="AG37" s="1029"/>
      <c r="AK37" s="1012"/>
      <c r="AM37" s="976" t="s">
        <v>855</v>
      </c>
      <c r="AN37" s="977">
        <v>35</v>
      </c>
      <c r="AO37" s="977">
        <v>12.4</v>
      </c>
      <c r="AP37" s="1116">
        <v>25</v>
      </c>
      <c r="AQ37" s="1017">
        <f t="shared" si="4"/>
        <v>10</v>
      </c>
      <c r="AR37" s="1017">
        <f t="shared" si="5"/>
        <v>22.6</v>
      </c>
    </row>
    <row r="38" spans="2:44" ht="20.100000000000001" customHeight="1" x14ac:dyDescent="0.25">
      <c r="B38" s="956"/>
      <c r="C38" s="965"/>
      <c r="D38" s="976" t="s">
        <v>856</v>
      </c>
      <c r="E38" s="977">
        <v>425</v>
      </c>
      <c r="F38" s="981" t="s">
        <v>857</v>
      </c>
      <c r="G38" s="979"/>
      <c r="H38" s="980"/>
      <c r="I38" s="1065" t="s">
        <v>858</v>
      </c>
      <c r="J38" s="1581"/>
      <c r="K38" s="975"/>
      <c r="L38" s="1005">
        <f t="shared" si="3"/>
        <v>0</v>
      </c>
      <c r="M38" s="1003"/>
      <c r="N38" s="967"/>
      <c r="O38" s="1006">
        <f t="shared" si="0"/>
        <v>0</v>
      </c>
      <c r="P38" s="967"/>
      <c r="Q38" s="967"/>
      <c r="R38" s="1306" t="str">
        <f t="shared" si="6"/>
        <v>0 - 0</v>
      </c>
      <c r="S38" s="967"/>
      <c r="T38" s="962"/>
      <c r="V38" s="1023"/>
      <c r="W38" s="1042" t="s">
        <v>784</v>
      </c>
      <c r="X38" s="1042">
        <v>0.4</v>
      </c>
      <c r="Y38" s="1030"/>
      <c r="Z38" s="1035"/>
      <c r="AA38" s="1564"/>
      <c r="AB38" s="1035"/>
      <c r="AC38" s="1043">
        <f t="shared" si="7"/>
        <v>0</v>
      </c>
      <c r="AD38" s="1035"/>
      <c r="AE38" s="1044" t="str">
        <f t="shared" si="8"/>
        <v>0 - 0</v>
      </c>
      <c r="AF38" s="1035"/>
      <c r="AG38" s="1029"/>
      <c r="AK38" s="1012"/>
      <c r="AM38" s="976" t="s">
        <v>856</v>
      </c>
      <c r="AN38" s="977">
        <v>425</v>
      </c>
      <c r="AO38" s="977">
        <v>120</v>
      </c>
      <c r="AP38" s="1116">
        <v>350</v>
      </c>
      <c r="AQ38" s="1017">
        <f t="shared" si="4"/>
        <v>75</v>
      </c>
      <c r="AR38" s="1017">
        <f t="shared" si="5"/>
        <v>305</v>
      </c>
    </row>
    <row r="39" spans="2:44" ht="20.100000000000001" customHeight="1" x14ac:dyDescent="0.25">
      <c r="B39" s="956"/>
      <c r="C39" s="965"/>
      <c r="D39" s="976" t="s">
        <v>859</v>
      </c>
      <c r="E39" s="977">
        <v>200</v>
      </c>
      <c r="F39" s="981" t="s">
        <v>854</v>
      </c>
      <c r="G39" s="979"/>
      <c r="H39" s="980"/>
      <c r="I39" s="1065" t="s">
        <v>844</v>
      </c>
      <c r="J39" s="1581"/>
      <c r="K39" s="975"/>
      <c r="L39" s="1005">
        <f t="shared" si="3"/>
        <v>0</v>
      </c>
      <c r="M39" s="1003"/>
      <c r="N39" s="967"/>
      <c r="O39" s="1006">
        <f t="shared" si="0"/>
        <v>0</v>
      </c>
      <c r="P39" s="967"/>
      <c r="Q39" s="967"/>
      <c r="R39" s="1306" t="str">
        <f t="shared" si="6"/>
        <v>0 - 0</v>
      </c>
      <c r="S39" s="967"/>
      <c r="T39" s="962"/>
      <c r="V39" s="1023"/>
      <c r="W39" s="1042" t="s">
        <v>786</v>
      </c>
      <c r="X39" s="1042">
        <v>1.5</v>
      </c>
      <c r="Y39" s="1030"/>
      <c r="Z39" s="1035"/>
      <c r="AA39" s="1564"/>
      <c r="AB39" s="1035"/>
      <c r="AC39" s="1043">
        <f t="shared" si="7"/>
        <v>0</v>
      </c>
      <c r="AD39" s="1035"/>
      <c r="AE39" s="1044" t="str">
        <f t="shared" si="8"/>
        <v>0 - 0</v>
      </c>
      <c r="AF39" s="1035"/>
      <c r="AG39" s="1029"/>
      <c r="AK39" s="1012"/>
      <c r="AM39" s="976" t="s">
        <v>859</v>
      </c>
      <c r="AN39" s="977">
        <v>200</v>
      </c>
      <c r="AO39" s="977">
        <v>140</v>
      </c>
      <c r="AP39" s="1116">
        <v>170</v>
      </c>
      <c r="AQ39" s="1017">
        <f t="shared" si="4"/>
        <v>30</v>
      </c>
      <c r="AR39" s="1017">
        <f t="shared" si="5"/>
        <v>60</v>
      </c>
    </row>
    <row r="40" spans="2:44" ht="20.100000000000001" customHeight="1" x14ac:dyDescent="0.25">
      <c r="B40" s="956"/>
      <c r="C40" s="965"/>
      <c r="D40" s="976" t="s">
        <v>860</v>
      </c>
      <c r="E40" s="977">
        <v>250</v>
      </c>
      <c r="F40" s="981" t="s">
        <v>839</v>
      </c>
      <c r="G40" s="979"/>
      <c r="H40" s="980"/>
      <c r="I40" s="1065" t="s">
        <v>840</v>
      </c>
      <c r="J40" s="1581"/>
      <c r="K40" s="975"/>
      <c r="L40" s="1005">
        <f>E40*J40*3100/1000</f>
        <v>0</v>
      </c>
      <c r="M40" s="1003"/>
      <c r="N40" s="967"/>
      <c r="O40" s="1006">
        <f t="shared" si="0"/>
        <v>0</v>
      </c>
      <c r="P40" s="967"/>
      <c r="Q40" s="967"/>
      <c r="R40" s="1306" t="str">
        <f t="shared" si="6"/>
        <v>0 - 0</v>
      </c>
      <c r="S40" s="967"/>
      <c r="T40" s="962"/>
      <c r="V40" s="1023"/>
      <c r="W40" s="1042" t="s">
        <v>793</v>
      </c>
      <c r="X40" s="1042">
        <v>2</v>
      </c>
      <c r="Y40" s="1030"/>
      <c r="Z40" s="1035"/>
      <c r="AA40" s="1564"/>
      <c r="AB40" s="1035"/>
      <c r="AC40" s="1043">
        <f t="shared" si="7"/>
        <v>0</v>
      </c>
      <c r="AD40" s="1035"/>
      <c r="AE40" s="1044" t="str">
        <f t="shared" si="8"/>
        <v>0 - 0</v>
      </c>
      <c r="AF40" s="1035"/>
      <c r="AG40" s="1029"/>
      <c r="AK40" s="1012"/>
      <c r="AM40" s="976" t="s">
        <v>860</v>
      </c>
      <c r="AN40" s="977">
        <v>250</v>
      </c>
      <c r="AO40" s="977">
        <v>150</v>
      </c>
      <c r="AP40" s="1116">
        <v>200</v>
      </c>
      <c r="AQ40" s="1017">
        <f t="shared" si="4"/>
        <v>50</v>
      </c>
      <c r="AR40" s="1017">
        <f t="shared" si="5"/>
        <v>100</v>
      </c>
    </row>
    <row r="41" spans="2:44" ht="20.100000000000001" customHeight="1" x14ac:dyDescent="0.25">
      <c r="B41" s="956"/>
      <c r="C41" s="965"/>
      <c r="D41" s="976" t="s">
        <v>861</v>
      </c>
      <c r="E41" s="977">
        <v>180</v>
      </c>
      <c r="F41" s="981" t="s">
        <v>862</v>
      </c>
      <c r="G41" s="979"/>
      <c r="H41" s="980"/>
      <c r="I41" s="1065" t="s">
        <v>863</v>
      </c>
      <c r="J41" s="1581"/>
      <c r="K41" s="975"/>
      <c r="L41" s="1005">
        <f>E41*J41*310/1000</f>
        <v>0</v>
      </c>
      <c r="M41" s="1003"/>
      <c r="N41" s="967"/>
      <c r="O41" s="1006">
        <f t="shared" si="0"/>
        <v>0</v>
      </c>
      <c r="P41" s="967"/>
      <c r="Q41" s="967"/>
      <c r="R41" s="1306" t="str">
        <f t="shared" si="6"/>
        <v>0 - 0</v>
      </c>
      <c r="S41" s="967"/>
      <c r="T41" s="962"/>
      <c r="V41" s="1023"/>
      <c r="W41" s="1042" t="s">
        <v>795</v>
      </c>
      <c r="X41" s="1042">
        <v>1</v>
      </c>
      <c r="Y41" s="1030"/>
      <c r="Z41" s="1035"/>
      <c r="AA41" s="1564"/>
      <c r="AB41" s="1035"/>
      <c r="AC41" s="1043">
        <f t="shared" si="7"/>
        <v>0</v>
      </c>
      <c r="AD41" s="1035"/>
      <c r="AE41" s="1044" t="str">
        <f t="shared" si="8"/>
        <v>0 - 0</v>
      </c>
      <c r="AF41" s="1035"/>
      <c r="AG41" s="1029"/>
      <c r="AK41" s="1012"/>
      <c r="AM41" s="976" t="s">
        <v>861</v>
      </c>
      <c r="AN41" s="977">
        <v>180</v>
      </c>
      <c r="AO41" s="977">
        <v>150</v>
      </c>
      <c r="AP41" s="1116">
        <v>170</v>
      </c>
      <c r="AQ41" s="1017">
        <f t="shared" si="4"/>
        <v>10</v>
      </c>
      <c r="AR41" s="1017">
        <f t="shared" si="5"/>
        <v>30</v>
      </c>
    </row>
    <row r="42" spans="2:44" ht="20.100000000000001" customHeight="1" x14ac:dyDescent="0.25">
      <c r="B42" s="956"/>
      <c r="C42" s="1011"/>
      <c r="D42" s="2019" t="s">
        <v>864</v>
      </c>
      <c r="E42" s="2019"/>
      <c r="F42" s="2019"/>
      <c r="G42" s="1011"/>
      <c r="H42" s="1011"/>
      <c r="I42" s="1011"/>
      <c r="J42" s="1011"/>
      <c r="K42" s="1011"/>
      <c r="L42" s="1011"/>
      <c r="M42" s="1011"/>
      <c r="N42" s="1011"/>
      <c r="O42" s="1011"/>
      <c r="P42" s="1011"/>
      <c r="Q42" s="1011"/>
      <c r="R42" s="1011"/>
      <c r="S42" s="1011"/>
      <c r="T42" s="962"/>
      <c r="V42" s="1023"/>
      <c r="W42" s="1046"/>
      <c r="X42" s="1047"/>
      <c r="Y42" s="1030"/>
      <c r="Z42" s="1035"/>
      <c r="AA42" s="1035"/>
      <c r="AB42" s="1035"/>
      <c r="AC42" s="1035"/>
      <c r="AD42" s="1035"/>
      <c r="AE42" s="1035"/>
      <c r="AF42" s="1035"/>
      <c r="AG42" s="1029"/>
      <c r="AK42" s="682"/>
    </row>
    <row r="43" spans="2:44" ht="20.100000000000001" customHeight="1" x14ac:dyDescent="0.25">
      <c r="B43" s="956"/>
      <c r="C43" s="1011"/>
      <c r="D43" s="2020"/>
      <c r="E43" s="2020"/>
      <c r="F43" s="2020"/>
      <c r="G43" s="1011"/>
      <c r="H43" s="1011"/>
      <c r="I43" s="1011"/>
      <c r="J43" s="1011"/>
      <c r="K43" s="1011"/>
      <c r="L43" s="1011"/>
      <c r="M43" s="1011"/>
      <c r="N43" s="1011"/>
      <c r="O43" s="1011"/>
      <c r="P43" s="1011"/>
      <c r="Q43" s="1011"/>
      <c r="R43" s="1011"/>
      <c r="S43" s="1011"/>
      <c r="T43" s="962"/>
      <c r="V43" s="1023"/>
      <c r="W43" s="2008" t="s">
        <v>797</v>
      </c>
      <c r="X43" s="2008"/>
      <c r="Y43" s="1030"/>
      <c r="Z43" s="1035"/>
      <c r="AA43" s="1035"/>
      <c r="AB43" s="1035"/>
      <c r="AC43" s="1035"/>
      <c r="AD43" s="1035"/>
      <c r="AE43" s="1035"/>
      <c r="AF43" s="1035"/>
      <c r="AG43" s="1029"/>
      <c r="AK43" s="682"/>
    </row>
    <row r="44" spans="2:44" ht="20.100000000000001" customHeight="1" x14ac:dyDescent="0.25">
      <c r="B44" s="956"/>
      <c r="C44" s="957"/>
      <c r="D44" s="2009"/>
      <c r="E44" s="2009"/>
      <c r="F44" s="2009"/>
      <c r="G44" s="2009"/>
      <c r="H44" s="2009"/>
      <c r="I44" s="2009"/>
      <c r="J44" s="2009"/>
      <c r="K44" s="964"/>
      <c r="L44" s="1007"/>
      <c r="M44" s="1007"/>
      <c r="N44" s="964"/>
      <c r="O44" s="964"/>
      <c r="P44" s="964"/>
      <c r="Q44" s="964"/>
      <c r="R44" s="964"/>
      <c r="S44" s="964"/>
      <c r="T44" s="962"/>
      <c r="V44" s="1023"/>
      <c r="W44" s="2008"/>
      <c r="X44" s="2008"/>
      <c r="Y44" s="1030"/>
      <c r="Z44" s="1030"/>
      <c r="AA44" s="1030"/>
      <c r="AB44" s="1030"/>
      <c r="AC44" s="1030"/>
      <c r="AD44" s="1030"/>
      <c r="AE44" s="1030"/>
      <c r="AF44" s="1030"/>
      <c r="AG44" s="1029"/>
      <c r="AK44" s="682"/>
    </row>
    <row r="45" spans="2:44" ht="20.100000000000001" customHeight="1" x14ac:dyDescent="0.25">
      <c r="B45" s="956"/>
      <c r="C45" s="957"/>
      <c r="D45" s="984"/>
      <c r="E45" s="985"/>
      <c r="F45" s="985"/>
      <c r="G45" s="964"/>
      <c r="H45" s="964"/>
      <c r="I45" s="986"/>
      <c r="J45" s="987" t="s">
        <v>865</v>
      </c>
      <c r="K45" s="964"/>
      <c r="L45" s="1582">
        <v>4</v>
      </c>
      <c r="M45" s="1048"/>
      <c r="N45" s="964" t="s">
        <v>866</v>
      </c>
      <c r="O45" s="964"/>
      <c r="P45" s="964"/>
      <c r="Q45" s="964"/>
      <c r="R45" s="964"/>
      <c r="S45" s="964"/>
      <c r="T45" s="962"/>
      <c r="V45" s="1023"/>
      <c r="W45" s="1028"/>
      <c r="X45" s="1028"/>
      <c r="Y45" s="1028"/>
      <c r="Z45" s="1049"/>
      <c r="AA45" s="1049"/>
      <c r="AB45" s="1049"/>
      <c r="AC45" s="1049"/>
      <c r="AD45" s="1049"/>
      <c r="AE45" s="1049"/>
      <c r="AF45" s="1049"/>
      <c r="AG45" s="1029"/>
      <c r="AK45" s="682"/>
    </row>
    <row r="46" spans="2:44" ht="20.100000000000001" customHeight="1" thickBot="1" x14ac:dyDescent="0.3">
      <c r="B46" s="956"/>
      <c r="C46" s="957"/>
      <c r="D46" s="2009"/>
      <c r="E46" s="2009"/>
      <c r="F46" s="2009"/>
      <c r="G46" s="2009"/>
      <c r="H46" s="2009"/>
      <c r="I46" s="2009"/>
      <c r="J46" s="2009"/>
      <c r="K46" s="964"/>
      <c r="L46" s="1007"/>
      <c r="M46" s="1007"/>
      <c r="N46" s="964"/>
      <c r="O46" s="964"/>
      <c r="P46" s="964"/>
      <c r="Q46" s="964"/>
      <c r="R46" s="964"/>
      <c r="S46" s="964"/>
      <c r="T46" s="962"/>
      <c r="V46" s="1025"/>
      <c r="W46" s="1026"/>
      <c r="X46" s="1026"/>
      <c r="Y46" s="1026"/>
      <c r="Z46" s="1050"/>
      <c r="AA46" s="1050"/>
      <c r="AB46" s="1050"/>
      <c r="AC46" s="1050"/>
      <c r="AD46" s="1050"/>
      <c r="AE46" s="1050"/>
      <c r="AF46" s="1050"/>
      <c r="AG46" s="1051"/>
    </row>
    <row r="47" spans="2:44" ht="20.100000000000001" customHeight="1" x14ac:dyDescent="0.25">
      <c r="B47" s="953"/>
      <c r="C47" s="2018" t="s">
        <v>798</v>
      </c>
      <c r="D47" s="2018"/>
      <c r="E47" s="2018"/>
      <c r="F47" s="2018"/>
      <c r="G47" s="2018"/>
      <c r="H47" s="2018"/>
      <c r="I47" s="2018"/>
      <c r="J47" s="2018"/>
      <c r="K47" s="2018"/>
      <c r="L47" s="2018"/>
      <c r="M47" s="2018"/>
      <c r="N47" s="2018"/>
      <c r="O47" s="2018"/>
      <c r="P47" s="2018"/>
      <c r="Q47" s="2018"/>
      <c r="R47" s="2018"/>
      <c r="S47" s="2018"/>
      <c r="T47" s="988"/>
      <c r="V47" s="1020"/>
      <c r="W47" s="2017" t="s">
        <v>798</v>
      </c>
      <c r="X47" s="2017"/>
      <c r="Y47" s="2017"/>
      <c r="Z47" s="2017"/>
      <c r="AA47" s="2017"/>
      <c r="AB47" s="2017"/>
      <c r="AC47" s="2017"/>
      <c r="AD47" s="2017"/>
      <c r="AE47" s="2017"/>
      <c r="AF47" s="2017"/>
      <c r="AG47" s="1052"/>
    </row>
    <row r="48" spans="2:44" ht="20.100000000000001" customHeight="1" x14ac:dyDescent="0.25">
      <c r="B48" s="956"/>
      <c r="C48" s="957"/>
      <c r="D48" s="984"/>
      <c r="E48" s="984"/>
      <c r="F48" s="964"/>
      <c r="G48" s="964"/>
      <c r="H48" s="964"/>
      <c r="I48" s="964"/>
      <c r="J48" s="964"/>
      <c r="K48" s="964"/>
      <c r="L48" s="964"/>
      <c r="M48" s="964"/>
      <c r="N48" s="964"/>
      <c r="O48" s="964"/>
      <c r="P48" s="964"/>
      <c r="Q48" s="964"/>
      <c r="R48" s="964"/>
      <c r="S48" s="964"/>
      <c r="T48" s="962"/>
      <c r="V48" s="1023"/>
      <c r="W48" s="1053" t="s">
        <v>799</v>
      </c>
      <c r="X48" s="1030"/>
      <c r="Y48" s="1030"/>
      <c r="Z48" s="1028"/>
      <c r="AA48" s="1028"/>
      <c r="AB48" s="1054"/>
      <c r="AC48" s="1055"/>
      <c r="AD48" s="1030"/>
      <c r="AE48" s="1030"/>
      <c r="AF48" s="1030"/>
      <c r="AG48" s="1029"/>
    </row>
    <row r="49" spans="1:35" ht="30" customHeight="1" x14ac:dyDescent="0.25">
      <c r="B49" s="956"/>
      <c r="C49" s="957"/>
      <c r="D49" s="989" t="s">
        <v>867</v>
      </c>
      <c r="E49" s="989"/>
      <c r="F49" s="990"/>
      <c r="G49" s="989" t="s">
        <v>802</v>
      </c>
      <c r="H49" s="964"/>
      <c r="I49" s="991"/>
      <c r="J49" s="991"/>
      <c r="K49" s="964"/>
      <c r="L49" s="964"/>
      <c r="M49" s="964"/>
      <c r="N49" s="964"/>
      <c r="O49" s="964"/>
      <c r="P49" s="964"/>
      <c r="Q49" s="964"/>
      <c r="R49" s="964"/>
      <c r="S49" s="964"/>
      <c r="T49" s="962"/>
      <c r="V49" s="1023"/>
      <c r="W49" s="1056" t="s">
        <v>800</v>
      </c>
      <c r="X49" s="1057" t="s">
        <v>801</v>
      </c>
      <c r="Y49" s="1056" t="s">
        <v>802</v>
      </c>
      <c r="Z49" s="1028"/>
      <c r="AA49" s="1055"/>
      <c r="AB49" s="1030"/>
      <c r="AC49" s="1030"/>
      <c r="AD49" s="1030"/>
      <c r="AE49" s="1030"/>
      <c r="AF49" s="1030"/>
      <c r="AG49" s="1029"/>
    </row>
    <row r="50" spans="1:35" ht="30" customHeight="1" x14ac:dyDescent="0.25">
      <c r="B50" s="956"/>
      <c r="C50" s="957"/>
      <c r="D50" s="992" t="s">
        <v>243</v>
      </c>
      <c r="E50" s="992"/>
      <c r="F50" s="2021" t="s">
        <v>868</v>
      </c>
      <c r="G50" s="2021"/>
      <c r="H50" s="2021"/>
      <c r="I50" s="2021"/>
      <c r="J50" s="2021"/>
      <c r="K50" s="2021"/>
      <c r="L50" s="2021"/>
      <c r="M50" s="2021"/>
      <c r="N50" s="2021"/>
      <c r="O50" s="2021"/>
      <c r="P50" s="2021"/>
      <c r="Q50" s="2021"/>
      <c r="R50" s="2021"/>
      <c r="S50" s="993"/>
      <c r="T50" s="962"/>
      <c r="V50" s="1023"/>
      <c r="W50" s="1058" t="s">
        <v>247</v>
      </c>
      <c r="X50" s="1059" t="s">
        <v>803</v>
      </c>
      <c r="Y50" s="2007" t="s">
        <v>804</v>
      </c>
      <c r="Z50" s="2007"/>
      <c r="AA50" s="2007"/>
      <c r="AB50" s="2007"/>
      <c r="AC50" s="2007"/>
      <c r="AD50" s="2007"/>
      <c r="AE50" s="2007"/>
      <c r="AF50" s="2007"/>
      <c r="AG50" s="1029"/>
    </row>
    <row r="51" spans="1:35" ht="30" customHeight="1" x14ac:dyDescent="0.25">
      <c r="B51" s="956"/>
      <c r="C51" s="957"/>
      <c r="D51" s="992" t="s">
        <v>869</v>
      </c>
      <c r="E51" s="992"/>
      <c r="F51" s="2021" t="s">
        <v>870</v>
      </c>
      <c r="G51" s="2021"/>
      <c r="H51" s="2021"/>
      <c r="I51" s="2021"/>
      <c r="J51" s="2021"/>
      <c r="K51" s="2021"/>
      <c r="L51" s="2021"/>
      <c r="M51" s="2021"/>
      <c r="N51" s="2021"/>
      <c r="O51" s="2021"/>
      <c r="P51" s="2021"/>
      <c r="Q51" s="2021"/>
      <c r="R51" s="2021"/>
      <c r="S51" s="994"/>
      <c r="T51" s="962"/>
      <c r="V51" s="1023"/>
      <c r="W51" s="1060" t="s">
        <v>805</v>
      </c>
      <c r="X51" s="1061" t="s">
        <v>806</v>
      </c>
      <c r="Y51" s="2004" t="s">
        <v>807</v>
      </c>
      <c r="Z51" s="2004"/>
      <c r="AA51" s="2004"/>
      <c r="AB51" s="2004"/>
      <c r="AC51" s="2004"/>
      <c r="AD51" s="2004"/>
      <c r="AE51" s="2004"/>
      <c r="AF51" s="2004"/>
      <c r="AG51" s="1029"/>
    </row>
    <row r="52" spans="1:35" ht="30" customHeight="1" x14ac:dyDescent="0.25">
      <c r="B52" s="956"/>
      <c r="C52" s="957"/>
      <c r="D52" s="992" t="s">
        <v>871</v>
      </c>
      <c r="E52" s="992"/>
      <c r="F52" s="2022" t="s">
        <v>872</v>
      </c>
      <c r="G52" s="2022"/>
      <c r="H52" s="2022"/>
      <c r="I52" s="2022"/>
      <c r="J52" s="2022"/>
      <c r="K52" s="2022"/>
      <c r="L52" s="2022"/>
      <c r="M52" s="2022"/>
      <c r="N52" s="2022"/>
      <c r="O52" s="2022"/>
      <c r="P52" s="2022"/>
      <c r="Q52" s="2022"/>
      <c r="R52" s="2022"/>
      <c r="S52" s="994"/>
      <c r="T52" s="962"/>
      <c r="V52" s="1023"/>
      <c r="W52" s="1060" t="s">
        <v>808</v>
      </c>
      <c r="X52" s="1061" t="s">
        <v>809</v>
      </c>
      <c r="Y52" s="2004" t="s">
        <v>810</v>
      </c>
      <c r="Z52" s="2004"/>
      <c r="AA52" s="2004"/>
      <c r="AB52" s="2004"/>
      <c r="AC52" s="2004"/>
      <c r="AD52" s="2004"/>
      <c r="AE52" s="2004"/>
      <c r="AF52" s="2004"/>
      <c r="AG52" s="1029"/>
    </row>
    <row r="53" spans="1:35" ht="30" customHeight="1" x14ac:dyDescent="0.25">
      <c r="B53" s="956"/>
      <c r="C53" s="957"/>
      <c r="D53" s="992" t="s">
        <v>873</v>
      </c>
      <c r="E53" s="992"/>
      <c r="F53" s="2021" t="s">
        <v>874</v>
      </c>
      <c r="G53" s="2021"/>
      <c r="H53" s="2021"/>
      <c r="I53" s="2021"/>
      <c r="J53" s="2021"/>
      <c r="K53" s="2021"/>
      <c r="L53" s="2021"/>
      <c r="M53" s="2021"/>
      <c r="N53" s="2021"/>
      <c r="O53" s="2021"/>
      <c r="P53" s="2021"/>
      <c r="Q53" s="2021"/>
      <c r="R53" s="2021"/>
      <c r="S53" s="994"/>
      <c r="T53" s="962"/>
      <c r="V53" s="1023"/>
      <c r="W53" s="1060" t="s">
        <v>811</v>
      </c>
      <c r="X53" s="1061" t="s">
        <v>812</v>
      </c>
      <c r="Y53" s="2004" t="s">
        <v>813</v>
      </c>
      <c r="Z53" s="2004"/>
      <c r="AA53" s="2004"/>
      <c r="AB53" s="2004"/>
      <c r="AC53" s="2004"/>
      <c r="AD53" s="2004"/>
      <c r="AE53" s="2004"/>
      <c r="AF53" s="2004"/>
      <c r="AG53" s="1029"/>
    </row>
    <row r="54" spans="1:35" ht="30" customHeight="1" x14ac:dyDescent="0.25">
      <c r="B54" s="956"/>
      <c r="C54" s="957"/>
      <c r="D54" s="992" t="s">
        <v>875</v>
      </c>
      <c r="E54" s="992"/>
      <c r="F54" s="2021" t="s">
        <v>876</v>
      </c>
      <c r="G54" s="2021"/>
      <c r="H54" s="2021"/>
      <c r="I54" s="2021"/>
      <c r="J54" s="2021"/>
      <c r="K54" s="2021"/>
      <c r="L54" s="2021"/>
      <c r="M54" s="2021"/>
      <c r="N54" s="2021"/>
      <c r="O54" s="2021"/>
      <c r="P54" s="2021"/>
      <c r="Q54" s="2021"/>
      <c r="R54" s="2021"/>
      <c r="S54" s="994"/>
      <c r="T54" s="962"/>
      <c r="V54" s="1023"/>
      <c r="W54" s="1060" t="s">
        <v>814</v>
      </c>
      <c r="X54" s="1061" t="s">
        <v>815</v>
      </c>
      <c r="Y54" s="2004" t="s">
        <v>816</v>
      </c>
      <c r="Z54" s="2004"/>
      <c r="AA54" s="2004"/>
      <c r="AB54" s="2004"/>
      <c r="AC54" s="2004"/>
      <c r="AD54" s="2004"/>
      <c r="AE54" s="2004"/>
      <c r="AF54" s="2004"/>
      <c r="AG54" s="1029"/>
    </row>
    <row r="55" spans="1:35" ht="30" customHeight="1" x14ac:dyDescent="0.25">
      <c r="B55" s="956"/>
      <c r="C55" s="957"/>
      <c r="D55" s="992" t="s">
        <v>187</v>
      </c>
      <c r="E55" s="992"/>
      <c r="F55" s="2021" t="s">
        <v>877</v>
      </c>
      <c r="G55" s="2021"/>
      <c r="H55" s="2021"/>
      <c r="I55" s="2021"/>
      <c r="J55" s="2021"/>
      <c r="K55" s="2021"/>
      <c r="L55" s="2021"/>
      <c r="M55" s="2021"/>
      <c r="N55" s="2021"/>
      <c r="O55" s="2021"/>
      <c r="P55" s="2021"/>
      <c r="Q55" s="2021"/>
      <c r="R55" s="2021"/>
      <c r="S55" s="994"/>
      <c r="T55" s="962"/>
      <c r="V55" s="1023"/>
      <c r="W55" s="1060" t="s">
        <v>817</v>
      </c>
      <c r="X55" s="1061" t="s">
        <v>809</v>
      </c>
      <c r="Y55" s="2004" t="s">
        <v>818</v>
      </c>
      <c r="Z55" s="2004"/>
      <c r="AA55" s="2004"/>
      <c r="AB55" s="2004"/>
      <c r="AC55" s="2004"/>
      <c r="AD55" s="2004"/>
      <c r="AE55" s="2004"/>
      <c r="AF55" s="2004"/>
      <c r="AG55" s="1029"/>
    </row>
    <row r="56" spans="1:35" ht="30" customHeight="1" x14ac:dyDescent="0.25">
      <c r="B56" s="956"/>
      <c r="C56" s="957"/>
      <c r="D56" s="992" t="s">
        <v>878</v>
      </c>
      <c r="E56" s="992"/>
      <c r="F56" s="2021" t="s">
        <v>879</v>
      </c>
      <c r="G56" s="2021"/>
      <c r="H56" s="2021"/>
      <c r="I56" s="2021"/>
      <c r="J56" s="2021"/>
      <c r="K56" s="2021"/>
      <c r="L56" s="2021"/>
      <c r="M56" s="2021"/>
      <c r="N56" s="2021"/>
      <c r="O56" s="2021"/>
      <c r="P56" s="2021"/>
      <c r="Q56" s="2021"/>
      <c r="R56" s="2021"/>
      <c r="S56" s="994"/>
      <c r="T56" s="962"/>
      <c r="V56" s="1023"/>
      <c r="W56" s="1060" t="s">
        <v>819</v>
      </c>
      <c r="X56" s="1061" t="s">
        <v>809</v>
      </c>
      <c r="Y56" s="2004" t="s">
        <v>820</v>
      </c>
      <c r="Z56" s="2004"/>
      <c r="AA56" s="2004"/>
      <c r="AB56" s="2004"/>
      <c r="AC56" s="2004"/>
      <c r="AD56" s="2004"/>
      <c r="AE56" s="2004"/>
      <c r="AF56" s="2004"/>
      <c r="AG56" s="1029"/>
    </row>
    <row r="57" spans="1:35" ht="30" customHeight="1" x14ac:dyDescent="0.25">
      <c r="B57" s="956"/>
      <c r="C57" s="957"/>
      <c r="D57" s="957"/>
      <c r="E57" s="957"/>
      <c r="F57" s="964"/>
      <c r="G57" s="957"/>
      <c r="H57" s="957"/>
      <c r="I57" s="995"/>
      <c r="J57" s="964"/>
      <c r="K57" s="964"/>
      <c r="L57" s="964"/>
      <c r="M57" s="964"/>
      <c r="N57" s="964"/>
      <c r="O57" s="964"/>
      <c r="P57" s="964"/>
      <c r="Q57" s="964"/>
      <c r="R57" s="964"/>
      <c r="S57" s="964"/>
      <c r="T57" s="962"/>
      <c r="V57" s="1023"/>
      <c r="W57" s="1060" t="s">
        <v>821</v>
      </c>
      <c r="X57" s="1061" t="s">
        <v>806</v>
      </c>
      <c r="Y57" s="2004" t="s">
        <v>822</v>
      </c>
      <c r="Z57" s="2004"/>
      <c r="AA57" s="2004"/>
      <c r="AB57" s="2004"/>
      <c r="AC57" s="2004"/>
      <c r="AD57" s="2004"/>
      <c r="AE57" s="2004"/>
      <c r="AF57" s="2004"/>
      <c r="AG57" s="1029"/>
    </row>
    <row r="58" spans="1:35" ht="30" customHeight="1" thickBot="1" x14ac:dyDescent="0.3">
      <c r="B58" s="959"/>
      <c r="C58" s="960"/>
      <c r="D58" s="996"/>
      <c r="E58" s="996"/>
      <c r="F58" s="996"/>
      <c r="G58" s="996"/>
      <c r="H58" s="996"/>
      <c r="I58" s="997"/>
      <c r="J58" s="960"/>
      <c r="K58" s="960"/>
      <c r="L58" s="960"/>
      <c r="M58" s="960"/>
      <c r="N58" s="960"/>
      <c r="O58" s="960"/>
      <c r="P58" s="960"/>
      <c r="Q58" s="960"/>
      <c r="R58" s="960"/>
      <c r="S58" s="960"/>
      <c r="T58" s="961"/>
      <c r="V58" s="1025"/>
      <c r="W58" s="1062" t="s">
        <v>823</v>
      </c>
      <c r="X58" s="1063" t="s">
        <v>806</v>
      </c>
      <c r="Y58" s="2014" t="s">
        <v>824</v>
      </c>
      <c r="Z58" s="2014"/>
      <c r="AA58" s="2014"/>
      <c r="AB58" s="2014"/>
      <c r="AC58" s="2014"/>
      <c r="AD58" s="2014"/>
      <c r="AE58" s="2014"/>
      <c r="AF58" s="2014"/>
      <c r="AG58" s="1051"/>
    </row>
    <row r="59" spans="1:35" ht="30" customHeight="1" x14ac:dyDescent="0.25">
      <c r="A59" s="682"/>
      <c r="B59" s="682"/>
      <c r="C59" s="682"/>
      <c r="D59" s="682"/>
      <c r="U59" s="682"/>
      <c r="V59" s="682"/>
      <c r="W59" s="682"/>
      <c r="X59" s="660"/>
      <c r="Y59" s="682"/>
      <c r="Z59" s="682"/>
      <c r="AA59" s="861"/>
      <c r="AB59" s="660"/>
      <c r="AC59" s="660"/>
      <c r="AD59" s="660"/>
      <c r="AE59" s="660"/>
      <c r="AF59" s="660"/>
      <c r="AG59" s="660"/>
      <c r="AH59" s="682"/>
      <c r="AI59" s="682"/>
    </row>
    <row r="60" spans="1:35" ht="30" hidden="1" customHeight="1" x14ac:dyDescent="0.25">
      <c r="U60" s="682"/>
      <c r="V60" s="682"/>
      <c r="AD60" s="660"/>
      <c r="AE60" s="660"/>
      <c r="AF60" s="660"/>
      <c r="AG60" s="660"/>
      <c r="AH60" s="682"/>
      <c r="AI60" s="682"/>
    </row>
    <row r="61" spans="1:35" ht="30" hidden="1" customHeight="1" x14ac:dyDescent="0.25">
      <c r="U61" s="682"/>
      <c r="V61" s="682"/>
      <c r="AD61" s="660"/>
      <c r="AE61" s="660"/>
      <c r="AF61" s="660"/>
      <c r="AG61" s="660"/>
      <c r="AH61" s="682"/>
      <c r="AI61" s="682"/>
    </row>
    <row r="62" spans="1:35" ht="30" hidden="1" customHeight="1" x14ac:dyDescent="0.25">
      <c r="B62" s="359"/>
      <c r="C62" s="359"/>
      <c r="D62" s="310"/>
      <c r="E62" s="310"/>
      <c r="F62" s="310"/>
      <c r="G62" s="310"/>
      <c r="H62" s="310"/>
      <c r="I62" s="1002"/>
      <c r="J62" s="359"/>
      <c r="K62" s="359"/>
      <c r="L62" s="359"/>
      <c r="M62" s="359"/>
      <c r="N62" s="359"/>
      <c r="O62" s="359"/>
      <c r="P62" s="359"/>
      <c r="Q62" s="359"/>
      <c r="R62" s="359"/>
      <c r="S62" s="359"/>
      <c r="T62" s="359"/>
      <c r="U62" s="682"/>
      <c r="V62" s="682"/>
      <c r="W62" s="660"/>
      <c r="X62" s="660"/>
      <c r="Y62" s="660"/>
      <c r="Z62" s="660"/>
      <c r="AA62" s="1019"/>
      <c r="AB62" s="682"/>
      <c r="AC62" s="682"/>
      <c r="AD62" s="682"/>
      <c r="AE62" s="682"/>
      <c r="AF62" s="682"/>
      <c r="AG62" s="682"/>
      <c r="AH62" s="682"/>
      <c r="AI62" s="682"/>
    </row>
    <row r="63" spans="1:35" ht="20.100000000000001" hidden="1" customHeight="1" x14ac:dyDescent="0.25">
      <c r="V63" s="359"/>
    </row>
    <row r="64" spans="1:35" hidden="1" x14ac:dyDescent="0.25"/>
    <row r="65" spans="23:33" hidden="1" x14ac:dyDescent="0.25"/>
    <row r="66" spans="23:33" hidden="1" x14ac:dyDescent="0.25"/>
    <row r="67" spans="23:33" hidden="1" x14ac:dyDescent="0.25"/>
    <row r="68" spans="23:33" hidden="1" x14ac:dyDescent="0.25"/>
    <row r="69" spans="23:33" hidden="1" x14ac:dyDescent="0.25"/>
    <row r="70" spans="23:33" hidden="1" x14ac:dyDescent="0.25"/>
    <row r="71" spans="23:33" hidden="1" x14ac:dyDescent="0.25">
      <c r="W71" s="359"/>
      <c r="X71" s="359"/>
      <c r="Y71" s="359"/>
      <c r="Z71" s="359"/>
      <c r="AA71" s="359"/>
      <c r="AB71" s="359"/>
      <c r="AC71" s="359"/>
      <c r="AD71" s="359"/>
      <c r="AE71" s="359"/>
      <c r="AF71" s="359"/>
      <c r="AG71" s="359"/>
    </row>
  </sheetData>
  <sheetProtection password="D65F" sheet="1" objects="1" scenarios="1"/>
  <mergeCells count="32">
    <mergeCell ref="Y56:AF56"/>
    <mergeCell ref="Y57:AF57"/>
    <mergeCell ref="Y58:AF58"/>
    <mergeCell ref="D17:R19"/>
    <mergeCell ref="W17:AF19"/>
    <mergeCell ref="W47:AF47"/>
    <mergeCell ref="C47:S47"/>
    <mergeCell ref="D42:F43"/>
    <mergeCell ref="F50:R50"/>
    <mergeCell ref="F51:R51"/>
    <mergeCell ref="F52:R52"/>
    <mergeCell ref="F53:R53"/>
    <mergeCell ref="F54:R54"/>
    <mergeCell ref="F55:R55"/>
    <mergeCell ref="F56:R56"/>
    <mergeCell ref="K25:M25"/>
    <mergeCell ref="D44:J44"/>
    <mergeCell ref="D46:J46"/>
    <mergeCell ref="N25:P25"/>
    <mergeCell ref="C13:S13"/>
    <mergeCell ref="C15:S15"/>
    <mergeCell ref="I25:J25"/>
    <mergeCell ref="AQ25:AR25"/>
    <mergeCell ref="Y54:AF54"/>
    <mergeCell ref="W13:AF13"/>
    <mergeCell ref="W15:AF15"/>
    <mergeCell ref="Y55:AF55"/>
    <mergeCell ref="Y50:AF50"/>
    <mergeCell ref="Y51:AF51"/>
    <mergeCell ref="Y52:AF52"/>
    <mergeCell ref="Y53:AF53"/>
    <mergeCell ref="W43:X44"/>
  </mergeCells>
  <conditionalFormatting sqref="AC37">
    <cfRule type="cellIs" dxfId="68" priority="83" operator="equal">
      <formula>0</formula>
    </cfRule>
  </conditionalFormatting>
  <conditionalFormatting sqref="AC38">
    <cfRule type="cellIs" dxfId="67" priority="82" operator="equal">
      <formula>0</formula>
    </cfRule>
  </conditionalFormatting>
  <conditionalFormatting sqref="AC28">
    <cfRule type="cellIs" dxfId="66" priority="81" operator="equal">
      <formula>0</formula>
    </cfRule>
  </conditionalFormatting>
  <conditionalFormatting sqref="AC39">
    <cfRule type="cellIs" dxfId="65" priority="80" operator="equal">
      <formula>0</formula>
    </cfRule>
  </conditionalFormatting>
  <conditionalFormatting sqref="AC32">
    <cfRule type="cellIs" dxfId="64" priority="79" operator="equal">
      <formula>0</formula>
    </cfRule>
  </conditionalFormatting>
  <conditionalFormatting sqref="AC30">
    <cfRule type="cellIs" dxfId="63" priority="78" operator="equal">
      <formula>0</formula>
    </cfRule>
  </conditionalFormatting>
  <conditionalFormatting sqref="AC31">
    <cfRule type="cellIs" dxfId="62" priority="77" operator="equal">
      <formula>0</formula>
    </cfRule>
  </conditionalFormatting>
  <conditionalFormatting sqref="AC36">
    <cfRule type="cellIs" dxfId="61" priority="76" operator="equal">
      <formula>0</formula>
    </cfRule>
  </conditionalFormatting>
  <conditionalFormatting sqref="AC33">
    <cfRule type="cellIs" dxfId="60" priority="75" operator="equal">
      <formula>0</formula>
    </cfRule>
  </conditionalFormatting>
  <conditionalFormatting sqref="AC27">
    <cfRule type="cellIs" dxfId="59" priority="74" operator="equal">
      <formula>0</formula>
    </cfRule>
  </conditionalFormatting>
  <conditionalFormatting sqref="AC40">
    <cfRule type="cellIs" dxfId="58" priority="73" operator="equal">
      <formula>0</formula>
    </cfRule>
  </conditionalFormatting>
  <conditionalFormatting sqref="AC29">
    <cfRule type="cellIs" dxfId="57" priority="72" operator="equal">
      <formula>0</formula>
    </cfRule>
  </conditionalFormatting>
  <conditionalFormatting sqref="AC41">
    <cfRule type="cellIs" dxfId="56" priority="71" operator="equal">
      <formula>0</formula>
    </cfRule>
  </conditionalFormatting>
  <conditionalFormatting sqref="AC34">
    <cfRule type="cellIs" dxfId="55" priority="70" operator="equal">
      <formula>0</formula>
    </cfRule>
  </conditionalFormatting>
  <conditionalFormatting sqref="AE37">
    <cfRule type="containsText" dxfId="54" priority="69" operator="containsText" text="0 - 0">
      <formula>NOT(ISERROR(SEARCH("0 - 0",AE37)))</formula>
    </cfRule>
  </conditionalFormatting>
  <conditionalFormatting sqref="AE38">
    <cfRule type="containsText" dxfId="53" priority="68" operator="containsText" text="0 - 0">
      <formula>NOT(ISERROR(SEARCH("0 - 0",AE38)))</formula>
    </cfRule>
  </conditionalFormatting>
  <conditionalFormatting sqref="AE28">
    <cfRule type="containsText" dxfId="52" priority="67" operator="containsText" text="0 - 0">
      <formula>NOT(ISERROR(SEARCH("0 - 0",AE28)))</formula>
    </cfRule>
  </conditionalFormatting>
  <conditionalFormatting sqref="AE39">
    <cfRule type="containsText" dxfId="51" priority="66" operator="containsText" text="0 - 0">
      <formula>NOT(ISERROR(SEARCH("0 - 0",AE39)))</formula>
    </cfRule>
  </conditionalFormatting>
  <conditionalFormatting sqref="AE32">
    <cfRule type="containsText" dxfId="50" priority="65" operator="containsText" text="0 - 0">
      <formula>NOT(ISERROR(SEARCH("0 - 0",AE32)))</formula>
    </cfRule>
  </conditionalFormatting>
  <conditionalFormatting sqref="AE30">
    <cfRule type="containsText" dxfId="49" priority="64" operator="containsText" text="0 - 0">
      <formula>NOT(ISERROR(SEARCH("0 - 0",AE30)))</formula>
    </cfRule>
  </conditionalFormatting>
  <conditionalFormatting sqref="AE31">
    <cfRule type="containsText" dxfId="48" priority="63" operator="containsText" text="0 - 0">
      <formula>NOT(ISERROR(SEARCH("0 - 0",AE31)))</formula>
    </cfRule>
  </conditionalFormatting>
  <conditionalFormatting sqref="AE33">
    <cfRule type="containsText" dxfId="47" priority="62" operator="containsText" text="0 - 0">
      <formula>NOT(ISERROR(SEARCH("0 - 0",AE33)))</formula>
    </cfRule>
  </conditionalFormatting>
  <conditionalFormatting sqref="AE36">
    <cfRule type="containsText" dxfId="46" priority="61" operator="containsText" text="0 - 0">
      <formula>NOT(ISERROR(SEARCH("0 - 0",AE36)))</formula>
    </cfRule>
  </conditionalFormatting>
  <conditionalFormatting sqref="AE27">
    <cfRule type="containsText" dxfId="45" priority="60" operator="containsText" text="0 - 0">
      <formula>NOT(ISERROR(SEARCH("0 - 0",AE27)))</formula>
    </cfRule>
  </conditionalFormatting>
  <conditionalFormatting sqref="AE40">
    <cfRule type="containsText" dxfId="44" priority="59" operator="containsText" text="0 - 0">
      <formula>NOT(ISERROR(SEARCH("0 - 0",AE40)))</formula>
    </cfRule>
  </conditionalFormatting>
  <conditionalFormatting sqref="AE29">
    <cfRule type="containsText" dxfId="43" priority="58" operator="containsText" text="0 - 0">
      <formula>NOT(ISERROR(SEARCH("0 - 0",AE29)))</formula>
    </cfRule>
  </conditionalFormatting>
  <conditionalFormatting sqref="AE41">
    <cfRule type="containsText" dxfId="42" priority="57" operator="containsText" text="0 - 0">
      <formula>NOT(ISERROR(SEARCH("0 - 0",AE41)))</formula>
    </cfRule>
  </conditionalFormatting>
  <conditionalFormatting sqref="AE34">
    <cfRule type="containsText" dxfId="41" priority="56" operator="containsText" text="0 - 0">
      <formula>NOT(ISERROR(SEARCH("0 - 0",AE34)))</formula>
    </cfRule>
  </conditionalFormatting>
  <conditionalFormatting sqref="L27:M27 L38:M40">
    <cfRule type="cellIs" dxfId="40" priority="43" operator="equal">
      <formula>0</formula>
    </cfRule>
  </conditionalFormatting>
  <conditionalFormatting sqref="L28:M28">
    <cfRule type="cellIs" dxfId="39" priority="42" operator="equal">
      <formula>0</formula>
    </cfRule>
  </conditionalFormatting>
  <conditionalFormatting sqref="L32:M32">
    <cfRule type="cellIs" dxfId="38" priority="41" operator="equal">
      <formula>0</formula>
    </cfRule>
  </conditionalFormatting>
  <conditionalFormatting sqref="L33:M33">
    <cfRule type="cellIs" dxfId="37" priority="40" operator="equal">
      <formula>0</formula>
    </cfRule>
  </conditionalFormatting>
  <conditionalFormatting sqref="L46:M46">
    <cfRule type="cellIs" dxfId="36" priority="39" operator="equal">
      <formula>0</formula>
    </cfRule>
  </conditionalFormatting>
  <conditionalFormatting sqref="L29:M29">
    <cfRule type="cellIs" dxfId="35" priority="38" operator="equal">
      <formula>0</formula>
    </cfRule>
  </conditionalFormatting>
  <conditionalFormatting sqref="L30:M30">
    <cfRule type="cellIs" dxfId="34" priority="37" operator="equal">
      <formula>0</formula>
    </cfRule>
  </conditionalFormatting>
  <conditionalFormatting sqref="L31:M31">
    <cfRule type="cellIs" dxfId="33" priority="36" operator="equal">
      <formula>0</formula>
    </cfRule>
  </conditionalFormatting>
  <conditionalFormatting sqref="L34:M37">
    <cfRule type="cellIs" dxfId="32" priority="35" operator="equal">
      <formula>0</formula>
    </cfRule>
  </conditionalFormatting>
  <conditionalFormatting sqref="L41:M41">
    <cfRule type="cellIs" dxfId="31" priority="34" operator="equal">
      <formula>0</formula>
    </cfRule>
  </conditionalFormatting>
  <conditionalFormatting sqref="L44:M44">
    <cfRule type="cellIs" dxfId="30" priority="32" operator="equal">
      <formula>0</formula>
    </cfRule>
  </conditionalFormatting>
  <conditionalFormatting sqref="O27">
    <cfRule type="cellIs" dxfId="29" priority="31" operator="equal">
      <formula>0</formula>
    </cfRule>
  </conditionalFormatting>
  <conditionalFormatting sqref="O28">
    <cfRule type="cellIs" dxfId="28" priority="30" operator="equal">
      <formula>0</formula>
    </cfRule>
  </conditionalFormatting>
  <conditionalFormatting sqref="O29">
    <cfRule type="cellIs" dxfId="27" priority="29" operator="equal">
      <formula>0</formula>
    </cfRule>
  </conditionalFormatting>
  <conditionalFormatting sqref="O30">
    <cfRule type="cellIs" dxfId="26" priority="28" operator="equal">
      <formula>0</formula>
    </cfRule>
  </conditionalFormatting>
  <conditionalFormatting sqref="O31">
    <cfRule type="cellIs" dxfId="25" priority="27" operator="equal">
      <formula>0</formula>
    </cfRule>
  </conditionalFormatting>
  <conditionalFormatting sqref="O32">
    <cfRule type="cellIs" dxfId="24" priority="26" operator="equal">
      <formula>0</formula>
    </cfRule>
  </conditionalFormatting>
  <conditionalFormatting sqref="O33">
    <cfRule type="cellIs" dxfId="23" priority="25" operator="equal">
      <formula>0</formula>
    </cfRule>
  </conditionalFormatting>
  <conditionalFormatting sqref="O34">
    <cfRule type="cellIs" dxfId="22" priority="24" operator="equal">
      <formula>0</formula>
    </cfRule>
  </conditionalFormatting>
  <conditionalFormatting sqref="O35">
    <cfRule type="cellIs" dxfId="21" priority="23" operator="equal">
      <formula>0</formula>
    </cfRule>
  </conditionalFormatting>
  <conditionalFormatting sqref="O36">
    <cfRule type="cellIs" dxfId="20" priority="22" operator="equal">
      <formula>0</formula>
    </cfRule>
  </conditionalFormatting>
  <conditionalFormatting sqref="O37">
    <cfRule type="cellIs" dxfId="19" priority="21" operator="equal">
      <formula>0</formula>
    </cfRule>
  </conditionalFormatting>
  <conditionalFormatting sqref="O38">
    <cfRule type="cellIs" dxfId="18" priority="20" operator="equal">
      <formula>0</formula>
    </cfRule>
  </conditionalFormatting>
  <conditionalFormatting sqref="O39">
    <cfRule type="cellIs" dxfId="17" priority="19" operator="equal">
      <formula>0</formula>
    </cfRule>
  </conditionalFormatting>
  <conditionalFormatting sqref="O40">
    <cfRule type="cellIs" dxfId="16" priority="18" operator="equal">
      <formula>0</formula>
    </cfRule>
  </conditionalFormatting>
  <conditionalFormatting sqref="O41">
    <cfRule type="cellIs" dxfId="15" priority="17" operator="equal">
      <formula>0</formula>
    </cfRule>
  </conditionalFormatting>
  <conditionalFormatting sqref="R27">
    <cfRule type="containsText" dxfId="14" priority="15" operator="containsText" text="0 - 0">
      <formula>NOT(ISERROR(SEARCH("0 - 0",R27)))</formula>
    </cfRule>
  </conditionalFormatting>
  <conditionalFormatting sqref="R28">
    <cfRule type="containsText" dxfId="13" priority="14" operator="containsText" text="0 - 0">
      <formula>NOT(ISERROR(SEARCH("0 - 0",R28)))</formula>
    </cfRule>
  </conditionalFormatting>
  <conditionalFormatting sqref="R29">
    <cfRule type="containsText" dxfId="12" priority="13" operator="containsText" text="0 - 0">
      <formula>NOT(ISERROR(SEARCH("0 - 0",R29)))</formula>
    </cfRule>
  </conditionalFormatting>
  <conditionalFormatting sqref="R30">
    <cfRule type="containsText" dxfId="11" priority="12" operator="containsText" text="0 - 0">
      <formula>NOT(ISERROR(SEARCH("0 - 0",R30)))</formula>
    </cfRule>
  </conditionalFormatting>
  <conditionalFormatting sqref="R31">
    <cfRule type="containsText" dxfId="10" priority="11" operator="containsText" text="0 - 0">
      <formula>NOT(ISERROR(SEARCH("0 - 0",R31)))</formula>
    </cfRule>
  </conditionalFormatting>
  <conditionalFormatting sqref="R32">
    <cfRule type="containsText" dxfId="9" priority="10" operator="containsText" text="0 - 0">
      <formula>NOT(ISERROR(SEARCH("0 - 0",R32)))</formula>
    </cfRule>
  </conditionalFormatting>
  <conditionalFormatting sqref="R33">
    <cfRule type="containsText" dxfId="8" priority="9" operator="containsText" text="0 - 0">
      <formula>NOT(ISERROR(SEARCH("0 - 0",R33)))</formula>
    </cfRule>
  </conditionalFormatting>
  <conditionalFormatting sqref="R34">
    <cfRule type="containsText" dxfId="7" priority="8" operator="containsText" text="0 - 0">
      <formula>NOT(ISERROR(SEARCH("0 - 0",R34)))</formula>
    </cfRule>
  </conditionalFormatting>
  <conditionalFormatting sqref="R35">
    <cfRule type="containsText" dxfId="6" priority="7" operator="containsText" text="0 - 0">
      <formula>NOT(ISERROR(SEARCH("0 - 0",R35)))</formula>
    </cfRule>
  </conditionalFormatting>
  <conditionalFormatting sqref="R36">
    <cfRule type="containsText" dxfId="5" priority="6" operator="containsText" text="0 - 0">
      <formula>NOT(ISERROR(SEARCH("0 - 0",R36)))</formula>
    </cfRule>
  </conditionalFormatting>
  <conditionalFormatting sqref="R37">
    <cfRule type="containsText" dxfId="4" priority="5" operator="containsText" text="0 - 0">
      <formula>NOT(ISERROR(SEARCH("0 - 0",R37)))</formula>
    </cfRule>
  </conditionalFormatting>
  <conditionalFormatting sqref="R38">
    <cfRule type="containsText" dxfId="3" priority="4" operator="containsText" text="0 - 0">
      <formula>NOT(ISERROR(SEARCH("0 - 0",R38)))</formula>
    </cfRule>
  </conditionalFormatting>
  <conditionalFormatting sqref="R39">
    <cfRule type="containsText" dxfId="2" priority="3" operator="containsText" text="0 - 0">
      <formula>NOT(ISERROR(SEARCH("0 - 0",R39)))</formula>
    </cfRule>
  </conditionalFormatting>
  <conditionalFormatting sqref="R40">
    <cfRule type="containsText" dxfId="1" priority="2" operator="containsText" text="0 - 0">
      <formula>NOT(ISERROR(SEARCH("0 - 0",R40)))</formula>
    </cfRule>
  </conditionalFormatting>
  <conditionalFormatting sqref="R41">
    <cfRule type="containsText" dxfId="0" priority="1" operator="containsText" text="0 - 0">
      <formula>NOT(ISERROR(SEARCH("0 - 0",R41)))</formula>
    </cfRule>
  </conditionalFormatting>
  <hyperlinks>
    <hyperlink ref="W10" r:id="rId1"/>
    <hyperlink ref="X10" r:id="rId2"/>
  </hyperlink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17</vt:i4>
      </vt:variant>
    </vt:vector>
  </HeadingPairs>
  <TitlesOfParts>
    <vt:vector size="30" baseType="lpstr">
      <vt:lpstr>Anleitung</vt:lpstr>
      <vt:lpstr>Fragebogen</vt:lpstr>
      <vt:lpstr>Milchverarbeitung</vt:lpstr>
      <vt:lpstr>Käsereien</vt:lpstr>
      <vt:lpstr>Fleischverarbeitung</vt:lpstr>
      <vt:lpstr>Getränke</vt:lpstr>
      <vt:lpstr>Brauereien</vt:lpstr>
      <vt:lpstr>Zuschlag</vt:lpstr>
      <vt:lpstr>Gewerbe</vt:lpstr>
      <vt:lpstr>Literatur</vt:lpstr>
      <vt:lpstr>Parameter</vt:lpstr>
      <vt:lpstr>Tools</vt:lpstr>
      <vt:lpstr>Lit</vt:lpstr>
      <vt:lpstr>Anleitung!Druckbereich</vt:lpstr>
      <vt:lpstr>Brauereien!Druckbereich</vt:lpstr>
      <vt:lpstr>Fleischverarbeitung!Druckbereich</vt:lpstr>
      <vt:lpstr>Fragebogen!Druckbereich</vt:lpstr>
      <vt:lpstr>Getränke!Druckbereich</vt:lpstr>
      <vt:lpstr>Käsereien!Druckbereich</vt:lpstr>
      <vt:lpstr>Literatur!Druckbereich</vt:lpstr>
      <vt:lpstr>Milchverarbeitung!Druckbereich</vt:lpstr>
      <vt:lpstr>DruckluftKoeffizienten</vt:lpstr>
      <vt:lpstr>Faktorenliste</vt:lpstr>
      <vt:lpstr>Grün</vt:lpstr>
      <vt:lpstr>Gut</vt:lpstr>
      <vt:lpstr>Liste</vt:lpstr>
      <vt:lpstr>ListeRechner</vt:lpstr>
      <vt:lpstr>Potential</vt:lpstr>
      <vt:lpstr>Rot</vt:lpstr>
      <vt:lpstr>StoffRechner</vt:lpstr>
    </vt:vector>
  </TitlesOfParts>
  <Company>umwelt und energie (uwe) - Kanton Luzern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EButscher</dc:creator>
  <cp:lastModifiedBy>Kim Häcki</cp:lastModifiedBy>
  <cp:lastPrinted>2016-05-11T08:40:32Z</cp:lastPrinted>
  <dcterms:created xsi:type="dcterms:W3CDTF">2012-02-10T11:53:57Z</dcterms:created>
  <dcterms:modified xsi:type="dcterms:W3CDTF">2019-06-11T10:50:01Z</dcterms:modified>
</cp:coreProperties>
</file>